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1335" windowWidth="27735" windowHeight="11670" firstSheet="1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_FilterDatabase" localSheetId="0" hidden="1">'表3-1 新增地方政府一般债券情况表'!$A$8:$Q$24</definedName>
    <definedName name="_xlnm._FilterDatabase" localSheetId="1" hidden="1">'表3-1 新增地方政府专项债券情况表'!$A$8:$R$81</definedName>
    <definedName name="_xlnm._FilterDatabase" localSheetId="2" hidden="1">'表3-2 新增地方政府一般债券资金收支情况表'!$A$9:$H$32</definedName>
    <definedName name="_xlnm._FilterDatabase" localSheetId="3" hidden="1">'表3-2 新增地方政府专项债券资金收支情况表'!$A$9:$G$76</definedName>
  </definedNames>
  <calcPr calcId="145621"/>
</workbook>
</file>

<file path=xl/calcChain.xml><?xml version="1.0" encoding="utf-8"?>
<calcChain xmlns="http://schemas.openxmlformats.org/spreadsheetml/2006/main">
  <c r="F12" i="4" l="1"/>
  <c r="F19" i="3"/>
  <c r="F11" i="3"/>
  <c r="D9" i="4" l="1"/>
  <c r="D76" i="4"/>
  <c r="D74" i="4"/>
  <c r="D67" i="4"/>
  <c r="D65" i="4"/>
  <c r="D64" i="4"/>
  <c r="D60" i="4"/>
  <c r="D59" i="4"/>
  <c r="D57" i="4"/>
  <c r="D54" i="4"/>
  <c r="D53" i="4"/>
  <c r="D50" i="4"/>
  <c r="D45" i="4"/>
  <c r="D42" i="4"/>
  <c r="D41" i="4"/>
  <c r="D29" i="4"/>
  <c r="D28" i="4"/>
  <c r="D26" i="4"/>
  <c r="D25" i="4"/>
  <c r="D22" i="4"/>
  <c r="D21" i="4"/>
  <c r="D19" i="4"/>
  <c r="D18" i="4"/>
  <c r="D13" i="4"/>
  <c r="D11" i="4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M64" i="2"/>
  <c r="L64" i="2"/>
  <c r="K64" i="2"/>
  <c r="J64" i="2"/>
  <c r="E64" i="2"/>
  <c r="M58" i="2"/>
  <c r="L58" i="2"/>
  <c r="K58" i="2"/>
  <c r="J58" i="2"/>
  <c r="E58" i="2"/>
  <c r="M66" i="2"/>
  <c r="L66" i="2"/>
  <c r="K66" i="2"/>
  <c r="J66" i="2"/>
  <c r="E66" i="2"/>
  <c r="M63" i="2"/>
  <c r="L63" i="2"/>
  <c r="K63" i="2"/>
  <c r="J63" i="2"/>
  <c r="E63" i="2"/>
  <c r="M44" i="2"/>
  <c r="L44" i="2"/>
  <c r="K44" i="2"/>
  <c r="J44" i="2"/>
  <c r="E44" i="2"/>
  <c r="M56" i="2"/>
  <c r="L56" i="2"/>
  <c r="K56" i="2"/>
  <c r="J56" i="2"/>
  <c r="E56" i="2"/>
  <c r="M75" i="2"/>
  <c r="L75" i="2"/>
  <c r="K75" i="2"/>
  <c r="J75" i="2"/>
  <c r="E75" i="2"/>
  <c r="M73" i="2"/>
  <c r="L73" i="2"/>
  <c r="K73" i="2"/>
  <c r="J73" i="2"/>
  <c r="E73" i="2"/>
  <c r="K24" i="2"/>
  <c r="J24" i="2"/>
  <c r="E24" i="2"/>
  <c r="M40" i="2"/>
  <c r="L40" i="2"/>
  <c r="K40" i="2"/>
  <c r="J40" i="2"/>
  <c r="E40" i="2"/>
  <c r="K20" i="2"/>
  <c r="J20" i="2"/>
  <c r="E20" i="2"/>
  <c r="K17" i="2"/>
  <c r="J17" i="2"/>
  <c r="E17" i="2"/>
  <c r="K18" i="2"/>
  <c r="J18" i="2"/>
  <c r="E18" i="2"/>
  <c r="M12" i="2"/>
  <c r="L12" i="2"/>
  <c r="K12" i="2"/>
  <c r="J12" i="2"/>
  <c r="E12" i="2"/>
  <c r="M10" i="2"/>
  <c r="L10" i="2"/>
  <c r="K10" i="2"/>
  <c r="J10" i="2"/>
  <c r="E10" i="2"/>
  <c r="J13" i="1"/>
  <c r="L22" i="1"/>
  <c r="K22" i="1"/>
  <c r="J22" i="1"/>
  <c r="I22" i="1"/>
  <c r="E22" i="1"/>
  <c r="L21" i="1"/>
  <c r="K21" i="1"/>
  <c r="J21" i="1"/>
  <c r="I21" i="1"/>
  <c r="E21" i="1"/>
  <c r="L20" i="1"/>
  <c r="K20" i="1"/>
  <c r="J20" i="1"/>
  <c r="I20" i="1"/>
  <c r="E20" i="1"/>
  <c r="L19" i="1"/>
  <c r="K19" i="1"/>
  <c r="J19" i="1"/>
  <c r="I19" i="1"/>
  <c r="E19" i="1"/>
  <c r="L23" i="1"/>
  <c r="K23" i="1"/>
  <c r="J23" i="1"/>
  <c r="I23" i="1"/>
  <c r="E23" i="1"/>
  <c r="K15" i="1"/>
  <c r="J15" i="1"/>
  <c r="I15" i="1"/>
  <c r="E15" i="1"/>
  <c r="K17" i="1"/>
  <c r="J17" i="1"/>
  <c r="I17" i="1"/>
  <c r="E17" i="1"/>
  <c r="L16" i="1"/>
  <c r="K16" i="1"/>
  <c r="J16" i="1"/>
  <c r="I16" i="1"/>
  <c r="E16" i="1"/>
  <c r="L18" i="1"/>
  <c r="K18" i="1"/>
  <c r="J18" i="1"/>
  <c r="I18" i="1"/>
  <c r="E18" i="1"/>
  <c r="L12" i="1"/>
  <c r="K12" i="1"/>
  <c r="J12" i="1"/>
  <c r="I12" i="1"/>
  <c r="E12" i="1"/>
  <c r="L13" i="1"/>
  <c r="K13" i="1"/>
  <c r="I13" i="1"/>
  <c r="E13" i="1"/>
  <c r="L14" i="1"/>
  <c r="K14" i="1"/>
  <c r="J14" i="1"/>
  <c r="I14" i="1"/>
  <c r="E14" i="1"/>
  <c r="L10" i="1"/>
  <c r="K10" i="1"/>
  <c r="J10" i="1"/>
  <c r="I10" i="1"/>
  <c r="E10" i="1"/>
  <c r="K9" i="1"/>
  <c r="L9" i="1"/>
  <c r="J9" i="1"/>
  <c r="I9" i="1"/>
  <c r="E9" i="1"/>
  <c r="D9" i="3" l="1"/>
  <c r="M52" i="2"/>
  <c r="L52" i="2"/>
  <c r="K52" i="2"/>
  <c r="J52" i="2"/>
  <c r="E52" i="2"/>
  <c r="E53" i="2"/>
  <c r="M59" i="2"/>
  <c r="L59" i="2"/>
  <c r="K59" i="2"/>
  <c r="J59" i="2"/>
  <c r="E59" i="2"/>
  <c r="M49" i="2"/>
  <c r="L49" i="2"/>
  <c r="K49" i="2"/>
  <c r="J49" i="2"/>
  <c r="E49" i="2"/>
  <c r="M41" i="2"/>
  <c r="L41" i="2"/>
  <c r="K41" i="2"/>
  <c r="J41" i="2"/>
  <c r="E41" i="2"/>
  <c r="M24" i="2"/>
  <c r="L24" i="2"/>
  <c r="M21" i="2"/>
  <c r="L21" i="2"/>
  <c r="K21" i="2"/>
  <c r="J21" i="2"/>
  <c r="E21" i="2"/>
  <c r="M28" i="2"/>
  <c r="L28" i="2"/>
  <c r="K28" i="2"/>
  <c r="J28" i="2"/>
  <c r="E28" i="2"/>
  <c r="M27" i="2"/>
  <c r="L27" i="2"/>
  <c r="K27" i="2"/>
  <c r="J27" i="2"/>
  <c r="E27" i="2"/>
  <c r="M25" i="2"/>
  <c r="L25" i="2"/>
  <c r="K25" i="2"/>
  <c r="J25" i="2"/>
  <c r="E25" i="2"/>
  <c r="L17" i="1"/>
  <c r="L15" i="1"/>
  <c r="L11" i="1"/>
  <c r="K11" i="1"/>
  <c r="I11" i="1"/>
  <c r="E11" i="1"/>
  <c r="M53" i="2" l="1"/>
  <c r="L53" i="2"/>
  <c r="K53" i="2"/>
  <c r="J53" i="2"/>
  <c r="F17" i="3" l="1"/>
  <c r="F9" i="3" s="1"/>
  <c r="F9" i="4" l="1"/>
</calcChain>
</file>

<file path=xl/sharedStrings.xml><?xml version="1.0" encoding="utf-8"?>
<sst xmlns="http://schemas.openxmlformats.org/spreadsheetml/2006/main" count="1079" uniqueCount="444">
  <si>
    <t>DEBT_T_XXGK_CXZQSY</t>
  </si>
  <si>
    <t xml:space="preserve"> AND T.AD_CODE_GK=5104 AND T.SET_YEAR_GK=2020 AND T.ZWLB_ID=01</t>
  </si>
  <si>
    <t>债券存续期公开</t>
  </si>
  <si>
    <t>AD_CODE_GK#5104</t>
  </si>
  <si>
    <t>AD_CODE#5104</t>
  </si>
  <si>
    <t>SET_YEAR_GK#2020</t>
  </si>
  <si>
    <t>ad_name#5104 攀枝花市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</si>
  <si>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</si>
  <si>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</si>
  <si>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</si>
  <si>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</si>
  <si>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</si>
  <si>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</si>
  <si>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</si>
  <si>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</si>
  <si>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</si>
  <si>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</si>
  <si>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</si>
  <si>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</si>
  <si>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</si>
  <si>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</si>
  <si>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</si>
  <si>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</si>
  <si>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</si>
  <si>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</si>
  <si>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</si>
  <si>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</si>
  <si>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</si>
  <si>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</si>
  <si>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</si>
  <si>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</si>
  <si>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</si>
  <si>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</si>
  <si>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</si>
  <si>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</si>
  <si>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</si>
  <si>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</si>
  <si>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147665</t>
  </si>
  <si>
    <t>一般债券</t>
  </si>
  <si>
    <t>2018</t>
  </si>
  <si>
    <t>2018-08-20</t>
  </si>
  <si>
    <t>3.95</t>
  </si>
  <si>
    <t>7年</t>
  </si>
  <si>
    <t>734B2C9380AAA8D6E0535EFB480A1B49</t>
  </si>
  <si>
    <t>2018年四川省政府一般债券（七期）</t>
  </si>
  <si>
    <t>1805163</t>
  </si>
  <si>
    <t>2018-07-26</t>
  </si>
  <si>
    <t>3.84</t>
  </si>
  <si>
    <t>5年</t>
  </si>
  <si>
    <t>71A9A2DF97590782E0535EFB480A82AE</t>
  </si>
  <si>
    <t>2019年四川省政府一般债券（十期）</t>
  </si>
  <si>
    <t>104628</t>
  </si>
  <si>
    <t>2019</t>
  </si>
  <si>
    <t>2019-06-03</t>
  </si>
  <si>
    <t>3.58</t>
  </si>
  <si>
    <t>8A120691BC06CA5BE0535EFB480A5616</t>
  </si>
  <si>
    <t>2019年四川省政府一般债券（三期）</t>
  </si>
  <si>
    <t>104524</t>
  </si>
  <si>
    <t>2019-02-25</t>
  </si>
  <si>
    <t>3.38</t>
  </si>
  <si>
    <t>10年</t>
  </si>
  <si>
    <t>82EE23517C6AE62FE0535EFB480A5EEB</t>
  </si>
  <si>
    <t>2019年四川省政府一般债券（二期）</t>
  </si>
  <si>
    <t>157575</t>
  </si>
  <si>
    <t>2019-01-29</t>
  </si>
  <si>
    <t>7FF165E1B202EA02E0535EFB480AEC3D</t>
  </si>
  <si>
    <t>2018年四川省政府一般债券（十期）</t>
  </si>
  <si>
    <t>147578</t>
  </si>
  <si>
    <t>2018-09-26</t>
  </si>
  <si>
    <t>4.07</t>
  </si>
  <si>
    <t>76AA3943992D94F4E0535EFB480AC43A</t>
  </si>
  <si>
    <t xml:space="preserve"> AND T.AD_CODE_GK=5104 AND T.SET_YEAR_GK=2020 AND T.ZWLB_ID=02</t>
  </si>
  <si>
    <t>ZWLB_ID#02</t>
  </si>
  <si>
    <t>XMZCLX#</t>
  </si>
  <si>
    <t>XMSY#</t>
  </si>
  <si>
    <t>债券项目资产类型</t>
  </si>
  <si>
    <t>已取得项目收益</t>
  </si>
  <si>
    <t>2019年四川省土地储备专项债券（六期）-2019年四川省政府专项债券（五十五期）</t>
  </si>
  <si>
    <t>157687</t>
  </si>
  <si>
    <t>土地储备专项债券</t>
  </si>
  <si>
    <t>2019-05-06</t>
  </si>
  <si>
    <t>3.46</t>
  </si>
  <si>
    <t>884702538DBAA834E0535EFB480A8296</t>
  </si>
  <si>
    <t>2018年四川省土地储备专项债券（三期）-2018年四川省政府专项债券（十期）</t>
  </si>
  <si>
    <t>1805269</t>
  </si>
  <si>
    <t>2018-09-17</t>
  </si>
  <si>
    <t>3.9</t>
  </si>
  <si>
    <t>75AB64A4872B832FE0535EFB480A4BEC</t>
  </si>
  <si>
    <t>2019年四川省生态环保建设专项债券（三期）-2019年四川省政府专项债券（三十九期）</t>
  </si>
  <si>
    <t>1905139</t>
  </si>
  <si>
    <t>普通专项债券</t>
  </si>
  <si>
    <t>2019-03-25</t>
  </si>
  <si>
    <t>84FABDC0A585EBFCE0535EFB480A4E2B</t>
  </si>
  <si>
    <t>2018年四川省土地储备专项债券(五期)-2018年四川省政府专项债券（二十三期）</t>
  </si>
  <si>
    <t>157511</t>
  </si>
  <si>
    <t>2018-10-25</t>
  </si>
  <si>
    <t>3.77</t>
  </si>
  <si>
    <t>77EAE7E15C7594EAE0535EFB480A179C</t>
  </si>
  <si>
    <t>2018年四川省土地储备专项债券（二期）-2018年四川省政府专项债券（九期）</t>
  </si>
  <si>
    <t>1805268</t>
  </si>
  <si>
    <t>3.8</t>
  </si>
  <si>
    <t>3年</t>
  </si>
  <si>
    <t>760BA25738E282C4E0535EFB480ADCBB</t>
  </si>
  <si>
    <t>2019年四川省土地储备专项债券（二期）-2019年四川省政府专项债券（二期）</t>
  </si>
  <si>
    <t>157577</t>
  </si>
  <si>
    <t>3.19</t>
  </si>
  <si>
    <t>80A875F8D145E9F2E0535EFB480A9762</t>
  </si>
  <si>
    <t>2019年四川省生态环保建设专项债券（七期）-2019年四川省政府专项债券（八十九期）</t>
  </si>
  <si>
    <t>157910</t>
  </si>
  <si>
    <t>2019-07-26</t>
  </si>
  <si>
    <t>3.41</t>
  </si>
  <si>
    <t>8E64DDBF7A01AFBDE0535EFB480A9C02</t>
  </si>
  <si>
    <t>2019年四川省工业园区建设专项债券（四期）-2019年四川省政府专项债券（六十五期）</t>
  </si>
  <si>
    <t>157697</t>
  </si>
  <si>
    <t>3.99</t>
  </si>
  <si>
    <t>8844A9E765D3A836E0535EFB480AFA66</t>
  </si>
  <si>
    <t>2019年四川省土地储备专项债券（五期）-2019年四川省政府专项债券（三十一期）</t>
  </si>
  <si>
    <t>1905131</t>
  </si>
  <si>
    <t>3.31</t>
  </si>
  <si>
    <t>84209EEFB0C081C0E0535EFB480AA123</t>
  </si>
  <si>
    <t>2019年四川省土地储备专项债券（七期）-2019年四川省政府专项债券（九十三期）</t>
  </si>
  <si>
    <t>157914</t>
  </si>
  <si>
    <t>3.25</t>
  </si>
  <si>
    <t>8E6A33B21DF2AFC3E0535EFB480A3F2A</t>
  </si>
  <si>
    <t>2019年四川省土地储备专项债券（三期）-2019年四川省政府专项债券（十九期）</t>
  </si>
  <si>
    <t>104527</t>
  </si>
  <si>
    <t>2.94</t>
  </si>
  <si>
    <t>82C3DA212761E809E0535EFB480A7956</t>
  </si>
  <si>
    <t>2019年四川省土地储备专项债券（五期）-2019年四川省政府专项债券（三十一期）_1</t>
  </si>
  <si>
    <t>1905131_1</t>
  </si>
  <si>
    <t>8409A0AE102081DCE0535EFB480A3740</t>
  </si>
  <si>
    <t>DEBT_T_XXGK_CXSRZC</t>
  </si>
  <si>
    <t xml:space="preserve"> AND T.AD_CODE_GK=5104 AND T.SET_YEAR_GK=2020 AND T.ZWLB_ID='01'</t>
  </si>
  <si>
    <t>AD_NAME#5104 攀枝花市</t>
  </si>
  <si>
    <t>SET_YEAR#2020</t>
  </si>
  <si>
    <t>SR_AMT#</t>
  </si>
  <si>
    <t>GNFL_NAME#</t>
  </si>
  <si>
    <t>ZC_AMT#</t>
  </si>
  <si>
    <t>GNFL_CODE#</t>
  </si>
  <si>
    <t>表3-2</t>
  </si>
  <si>
    <t>序号</t>
  </si>
  <si>
    <t>金额</t>
  </si>
  <si>
    <t>支出功能分类</t>
  </si>
  <si>
    <t>合计</t>
  </si>
  <si>
    <t>205教育支出</t>
  </si>
  <si>
    <t>205</t>
  </si>
  <si>
    <t>212城乡社区支出</t>
  </si>
  <si>
    <t>212</t>
  </si>
  <si>
    <t>213农林水支出</t>
  </si>
  <si>
    <t>213</t>
  </si>
  <si>
    <t xml:space="preserve"> AND T.AD_CODE_GK=5104 AND T.SET_YEAR_GK=2020 AND T.ZWLB_ID='02'</t>
  </si>
  <si>
    <t>截至2023年末攀枝花市发行的新增地方政府一般债券情况表</t>
    <phoneticPr fontId="5" type="noConversion"/>
  </si>
  <si>
    <t>2021年四川省政府一般债券(一期)</t>
  </si>
  <si>
    <t>2105131</t>
  </si>
  <si>
    <t>2021</t>
  </si>
  <si>
    <t>2021-05-10</t>
  </si>
  <si>
    <t>C337430874CA2F7BE0535EFB480A0FD2</t>
  </si>
  <si>
    <t>2020年四川省政府一般债券（五期）</t>
  </si>
  <si>
    <t>160833</t>
  </si>
  <si>
    <t>2020</t>
  </si>
  <si>
    <t>2020-08-10</t>
  </si>
  <si>
    <t>3.82</t>
  </si>
  <si>
    <t>20年</t>
  </si>
  <si>
    <t>ACA9CD9EE8291434E0535EFB480A215D</t>
  </si>
  <si>
    <t>2021年四川省政府一般债券(二期)</t>
  </si>
  <si>
    <t>2105132</t>
  </si>
  <si>
    <t>C337430874C42F7BE0535EFB480A0FD2</t>
  </si>
  <si>
    <t>2020年四川省政府一般债券（四期）</t>
  </si>
  <si>
    <t>160832</t>
  </si>
  <si>
    <t>3.26</t>
  </si>
  <si>
    <t>ACA9AEEFA4B31537E0535EFB480A2252</t>
  </si>
  <si>
    <t>2021年四川省城乡基础设施建设专项债券（三期）-2021年四川省政府专项债券（五期）</t>
  </si>
  <si>
    <t>173714</t>
  </si>
  <si>
    <t>其他领域专项债券</t>
  </si>
  <si>
    <t>2021-06-10</t>
  </si>
  <si>
    <t>3.34</t>
  </si>
  <si>
    <t>C461AB8CF5CB8A7BE0535EFB480A6020</t>
  </si>
  <si>
    <t>2020年四川省社会事业专项债券（十二期）-2020年四川省政府专项债券（九十六期）</t>
  </si>
  <si>
    <t>104925</t>
  </si>
  <si>
    <t>2020-09-17</t>
  </si>
  <si>
    <t>3.37</t>
  </si>
  <si>
    <t>AF8E2656897A5974E0535EFB480A2885</t>
  </si>
  <si>
    <t>2020年四川省工业园区建设专项债券（三期）-2020年四川省政府专项债券（十一期）</t>
  </si>
  <si>
    <t>160552</t>
  </si>
  <si>
    <t>2020-01-02</t>
  </si>
  <si>
    <t>3.67</t>
  </si>
  <si>
    <t>15年</t>
  </si>
  <si>
    <t>9C161386A0B4A62FE0535EFB480A770D</t>
  </si>
  <si>
    <t>2021年四川省城乡基础设施建设专项债券（四期）-2021年四川省政府专项债券（六期）</t>
  </si>
  <si>
    <t>173715</t>
  </si>
  <si>
    <t>3.71</t>
  </si>
  <si>
    <t>C42B8152D57B8A97E0535EFB480AD586</t>
  </si>
  <si>
    <t>2020年四川省社会事业专项债券（五期）-2020年四川省政府专项债券（七十三期）</t>
  </si>
  <si>
    <t>160739</t>
  </si>
  <si>
    <t>2020-05-18</t>
  </si>
  <si>
    <t>2.93</t>
  </si>
  <si>
    <t>A6AD0F5607D8AA05E0535EFB480A581A</t>
  </si>
  <si>
    <t>2020年四川省城乡基础设施建设专项债券（二十三期）-2020年四川省政府专项债券（八十二期）</t>
  </si>
  <si>
    <t>2005878</t>
  </si>
  <si>
    <t>2020-08-26</t>
  </si>
  <si>
    <t>3.72</t>
  </si>
  <si>
    <t>ADCC4BC8B9646C3CE0535EFB480A07C0</t>
  </si>
  <si>
    <t>2020年四川省城乡基础设施建设专项债券（十八期）-2020年四川省政府专项债券（六十五期）</t>
  </si>
  <si>
    <t>160731</t>
  </si>
  <si>
    <t>A6ACE81CFFA6AA09E0535EFB480A27BA</t>
  </si>
  <si>
    <t>2021年四川省城乡基础设施建设专项债券（八期）-2021年四川省政府专项债券（二十六期）</t>
  </si>
  <si>
    <t>173869</t>
  </si>
  <si>
    <t>2021-10-28</t>
  </si>
  <si>
    <t>3.23</t>
  </si>
  <si>
    <t>CF526C7D4044169BE0535EFB480A6980</t>
  </si>
  <si>
    <t>2021年四川省城乡基础设施建设专项债券（十五期）-2021年四川省政府专项债券（五十三期）</t>
  </si>
  <si>
    <t>2171198</t>
  </si>
  <si>
    <t>2021-11-09</t>
  </si>
  <si>
    <t>3.17</t>
  </si>
  <si>
    <t>D058834E0324F7DAE0535EFB480A8656</t>
  </si>
  <si>
    <t>2021年四川省城乡基础设施建设专项债券（十六期）-2021年四川省政府专项债券（五十四期）</t>
  </si>
  <si>
    <t>2171199</t>
  </si>
  <si>
    <t>3.5</t>
  </si>
  <si>
    <t>D058834E0373F7DAE0535EFB480A8656</t>
  </si>
  <si>
    <t>2020年四川省水务建设专项债券（一期）-2020年四川省政府专项债券（十二期）</t>
  </si>
  <si>
    <t>160553</t>
  </si>
  <si>
    <t>9C161865D82DA633E0535EFB480A7318</t>
  </si>
  <si>
    <t>2020年四川省生态环保建设专项债券（二期）-2020年四川省政府专项债券（十八期）</t>
  </si>
  <si>
    <t>160559</t>
  </si>
  <si>
    <t>9C161865D85DA633E0535EFB480A7318</t>
  </si>
  <si>
    <t>2020年四川省水务建设专项债券（四期）-2020年四川省政府专项债券（三十九期）</t>
  </si>
  <si>
    <t>160631</t>
  </si>
  <si>
    <t>2020-01-10</t>
  </si>
  <si>
    <t>9C161386A25AA62FE0535EFB480A770D</t>
  </si>
  <si>
    <t>2020年四川省城乡基础设施建设专项债券（三十二期）-2020年四川省政府专项债券（一百零五期）</t>
  </si>
  <si>
    <t>104934</t>
  </si>
  <si>
    <t>30年</t>
  </si>
  <si>
    <t>AF7F94899BC8598CE0535EFB480A183E</t>
  </si>
  <si>
    <t>2020年四川省城乡基础设施建设专项债券（二十九期）-2020年四川省政府专项债券（一百零二期）</t>
  </si>
  <si>
    <t>104931</t>
  </si>
  <si>
    <t>AF7F94899A15598AE0535EFB480A18A9</t>
  </si>
  <si>
    <t>2020年四川省城乡基础设施建设专项债券（二十期）-2020年四川省政府专项债券（六十七期）</t>
  </si>
  <si>
    <t>160733</t>
  </si>
  <si>
    <t>3.55</t>
  </si>
  <si>
    <t>A69DE03FA7B97AE3E0535EFB480A3815</t>
  </si>
  <si>
    <t>2020年四川省城乡基础设施建设专项债券六期-2020年四川省政府专项债券（二十六期）</t>
  </si>
  <si>
    <t>160618</t>
  </si>
  <si>
    <t>9C16A8B5893DA784E0535EFB480A7450</t>
  </si>
  <si>
    <t>2020年四川省生态环保建设专项债券（三期）-2020年四川省政府专项债券（十九期）</t>
  </si>
  <si>
    <t>160560</t>
  </si>
  <si>
    <t>9C16133CBC0AA631E0535EFB480ACA04</t>
  </si>
  <si>
    <t>2020年四川省城乡基础设施建设专项债券（十九期）-2020年四川省政府专项债券（六十六期）</t>
  </si>
  <si>
    <t>160732</t>
  </si>
  <si>
    <t>3.43</t>
  </si>
  <si>
    <t>A676D8485F84E9EDE0535EFB480A491B</t>
  </si>
  <si>
    <t>2020年四川省城乡基础设施建设专项债券（三十期）-2020年四川省政府专项债券（一百零三期）</t>
  </si>
  <si>
    <t>104932</t>
  </si>
  <si>
    <t>AF7FBDC4A9CA6D2BE0535EFB480A26A1</t>
  </si>
  <si>
    <t>211节能环保支出</t>
  </si>
  <si>
    <t>214交通运输支出</t>
  </si>
  <si>
    <t>216商业服务业等支出</t>
  </si>
  <si>
    <t>224灾害防治及应急管理支出</t>
  </si>
  <si>
    <t>2023年四川省政府一般债券（二期）</t>
  </si>
  <si>
    <t>2305064</t>
  </si>
  <si>
    <t>2023</t>
  </si>
  <si>
    <t>2023-01-17</t>
  </si>
  <si>
    <t>2.98</t>
  </si>
  <si>
    <t>F2701C87E8689793E0535EFB480A0071</t>
  </si>
  <si>
    <t>2023年四川省政府一般债券（三期）</t>
  </si>
  <si>
    <t>198691</t>
  </si>
  <si>
    <t>2023-07-07</t>
  </si>
  <si>
    <t>2.73</t>
  </si>
  <si>
    <t>00190C5D536B4CF0E0635EFB480A4D85</t>
  </si>
  <si>
    <t>2023年四川省政府一般债券（四期）</t>
  </si>
  <si>
    <t>198692</t>
  </si>
  <si>
    <t>3.12</t>
  </si>
  <si>
    <t>00196D4E2C78873EE0635EFB480A4E2D</t>
  </si>
  <si>
    <t>2023年四川省政府一般债券（一期）</t>
  </si>
  <si>
    <t>2305063</t>
  </si>
  <si>
    <t>2.96</t>
  </si>
  <si>
    <t>F271215AE679978FE0535EFB480AFA46</t>
  </si>
  <si>
    <t>2022年四川省政府一般债券（七期）</t>
  </si>
  <si>
    <t>2271358</t>
  </si>
  <si>
    <t>2022</t>
  </si>
  <si>
    <t>2022-06-28</t>
  </si>
  <si>
    <t>E204A1B9FDEE042EE0535EFB480A3A42</t>
  </si>
  <si>
    <t>2022年四川省城乡基础设施建设专项债券（十五期）-2022年四川省政府专项债券（七十一期）</t>
  </si>
  <si>
    <t>2271776</t>
  </si>
  <si>
    <t>2022-10-17</t>
  </si>
  <si>
    <t>2.88</t>
  </si>
  <si>
    <t>EB3755C5AF155519E0535EFB480A3C2A</t>
  </si>
  <si>
    <t>2023年四川省城乡基础设施建设专项债券（三期）-2023年四川省政府专项债券（三期）</t>
  </si>
  <si>
    <t>2305067</t>
  </si>
  <si>
    <t>F2701C2922079799E0535EFB480A4D48</t>
  </si>
  <si>
    <t>2023年四川省城乡基础设施建设专项债券（二十二期）-2023年四川省政府专项债券（二十二期）</t>
  </si>
  <si>
    <t>198230</t>
  </si>
  <si>
    <t>2023-04-28</t>
  </si>
  <si>
    <t>2.91</t>
  </si>
  <si>
    <t>F90BA359CBDC65F4E0535EFB480AAB8D</t>
  </si>
  <si>
    <t>2023年四川省城乡基础设施建设专项债券（三十七期）-2023年四川省政府专项债券（三十八期）</t>
  </si>
  <si>
    <t>2305937</t>
  </si>
  <si>
    <t>2023-08-15</t>
  </si>
  <si>
    <t>3</t>
  </si>
  <si>
    <t>02F2A3A99CB699BAE0635EFB480A6CEF</t>
  </si>
  <si>
    <t>2023年四川省城乡基础设施建设专项债券（三十五期）-2023年四川省政府专项债券（三十六期）</t>
  </si>
  <si>
    <t>2305935</t>
  </si>
  <si>
    <t>2.74</t>
  </si>
  <si>
    <t>02F2EB6D4FB9CFAAE0635EFB480A5F27</t>
  </si>
  <si>
    <t>2022年四川省城乡基础设施建设专项债券（三期）-2022年四川省政府专项债券（六期）</t>
  </si>
  <si>
    <t>2205155</t>
  </si>
  <si>
    <t>2022-01-27</t>
  </si>
  <si>
    <t>D67CD27B30D56E4BE0535EFB480A234B</t>
  </si>
  <si>
    <t>2023年四川省城乡基础设施建设专项债券（十六期）-2023年四川省政府专项债券（十六期）</t>
  </si>
  <si>
    <t>2305324</t>
  </si>
  <si>
    <t>2023-03-31</t>
  </si>
  <si>
    <t>3.1</t>
  </si>
  <si>
    <t>F8F6B24A1BD23F8CE0535EFB480A6FAC</t>
  </si>
  <si>
    <t>2022年四川省城市更新和产业升级基础设施专项债券（四期）—2022年四川省政府专项债券（五十一期）</t>
  </si>
  <si>
    <t>2271130</t>
  </si>
  <si>
    <t>2022-06-13</t>
  </si>
  <si>
    <t>3.21</t>
  </si>
  <si>
    <t>E06EC60B8CB36E76E0535EFB480AF66C</t>
  </si>
  <si>
    <t>2022年四川省社会事业和交通基础设施专项债券（一期）—2022年四川省政府专项债券（四十五期）</t>
  </si>
  <si>
    <t>2271124</t>
  </si>
  <si>
    <t>E06F7CAE0EE36D98E0535EFB480A5EFF</t>
  </si>
  <si>
    <t>2023年四川省城乡基础设施建设专项债券（十七期）-2023年四川省政府专项债券（十七期）</t>
  </si>
  <si>
    <t>2305325</t>
  </si>
  <si>
    <t>F8F6B24A1C2A3F8CE0535EFB480A6FAC</t>
  </si>
  <si>
    <t>2023年四川省城乡基础设施建设专项债券（十五期）-2023年四川省政府专项债券（十五期）</t>
  </si>
  <si>
    <t>2305323</t>
  </si>
  <si>
    <t>F8F66E19F40E0CF7E0535EFB480AAC8A</t>
  </si>
  <si>
    <t>2023年四川省城乡基础设施建设专项债券（三十六期）-2023年四川省政府专项债券（三十七期）</t>
  </si>
  <si>
    <t>2305936</t>
  </si>
  <si>
    <t>2.92</t>
  </si>
  <si>
    <t>02F31E709A1EF535E0635EFB480A2747</t>
  </si>
  <si>
    <t>2023年四川省城乡基础设施建设专项债券（二十八期）-2023年四川省政府专项债券（二十九期）</t>
  </si>
  <si>
    <t>2305782</t>
  </si>
  <si>
    <t>2023-07-20</t>
  </si>
  <si>
    <t>01368A780005260AE0635EFB480A026C</t>
  </si>
  <si>
    <t>2023年四川省城乡基础设施建设专项债券（四期）-2023年四川省政府专项债券（四期）</t>
  </si>
  <si>
    <t>2305068</t>
  </si>
  <si>
    <t>F2701C457F5C9797E0535EFB480AA111</t>
  </si>
  <si>
    <t>2022年四川省城乡基础设施建设专项债券（一期）-2022年四川省政府专项债券（四期）</t>
  </si>
  <si>
    <t>2205153</t>
  </si>
  <si>
    <t>2.85</t>
  </si>
  <si>
    <t>D67CD27B817E6E2FE0535EFB480A9059</t>
  </si>
  <si>
    <t>2023年四川省城乡基础设施建设专项债券（二十九期）-2023年四川省政府专项债券（三十期）</t>
  </si>
  <si>
    <t>2305783</t>
  </si>
  <si>
    <t>014E2D9F76C96868E0635EFB480A8860</t>
  </si>
  <si>
    <t>2022年四川省城乡基础设施建设专项债券（九期）-2022年四川省政府专项债券（二十五期）</t>
  </si>
  <si>
    <t>2205229</t>
  </si>
  <si>
    <t>2022-02-18</t>
  </si>
  <si>
    <t>D87FB93CA1433971E0535EFB480A59D2</t>
  </si>
  <si>
    <t>2023年四川省城乡基础设施建设专项债券（十一期）-2023年四川省政府专项债券（十一期）</t>
  </si>
  <si>
    <t>101947</t>
  </si>
  <si>
    <t>2023-02-27</t>
  </si>
  <si>
    <t>3.16</t>
  </si>
  <si>
    <t>F5BF40144E5A805EE0535EFB480A1C48</t>
  </si>
  <si>
    <t>2022年四川省乡村振兴和水利建设专项债券（一期）—2022年四川省政府专项债券（四十二期）</t>
  </si>
  <si>
    <t>2271121</t>
  </si>
  <si>
    <t>E06EC612C84D6E74E0535EFB480A2439</t>
  </si>
  <si>
    <t>2022年四川省城乡基础设施建设专项债券（十六期）-2022年四川省政府专项债券（七十二期）</t>
  </si>
  <si>
    <t>2271777</t>
  </si>
  <si>
    <t>3.06</t>
  </si>
  <si>
    <t>EB37B8F0E79589D8E0535EFB480A4207</t>
  </si>
  <si>
    <t>2022年四川省城市更新和产业升级基础设施专项债券（三期）—2022年四川省政府专项债券（五十期）</t>
  </si>
  <si>
    <t>2271129</t>
  </si>
  <si>
    <t>E10E6A128EC26D80E0535EFB480A694A</t>
  </si>
  <si>
    <t>2022年四川省社会事业和交通基础设施专项债券（五期）—2022年四川省政府专项债券（五十八期）</t>
  </si>
  <si>
    <t>2271171</t>
  </si>
  <si>
    <t>2022-06-16</t>
  </si>
  <si>
    <t>E173CFE4909E0502E0535EFB480A0202</t>
  </si>
  <si>
    <t>224</t>
  </si>
  <si>
    <t>230转移性支出</t>
  </si>
  <si>
    <t>230</t>
  </si>
  <si>
    <t>211</t>
  </si>
  <si>
    <t>214</t>
  </si>
  <si>
    <t>216</t>
  </si>
  <si>
    <t>229其他支出</t>
  </si>
  <si>
    <t>229</t>
  </si>
  <si>
    <t>210卫生健康支出</t>
  </si>
  <si>
    <t>210</t>
  </si>
  <si>
    <t>截至2023年末攀枝花市发行的新增地方政府专项债券情况表</t>
    <phoneticPr fontId="5" type="noConversion"/>
  </si>
  <si>
    <t>截至2023年末攀枝花市发行的新增地方政府一般债券资金收支情况表</t>
    <phoneticPr fontId="5" type="noConversion"/>
  </si>
  <si>
    <t>截至2023年末攀枝花市发行的新增地方政府专项债券资金收支情况表</t>
    <phoneticPr fontId="5" type="noConversion"/>
  </si>
  <si>
    <t>2023年末新增专项债券资金收入</t>
    <phoneticPr fontId="5" type="noConversion"/>
  </si>
  <si>
    <t>2023年末新增专项债券资金安排的支出</t>
    <phoneticPr fontId="5" type="noConversion"/>
  </si>
  <si>
    <t>2023年末新增一般债券资金收入</t>
    <phoneticPr fontId="5" type="noConversion"/>
  </si>
  <si>
    <t>2023年末新增一般债券资金安排的支出</t>
    <phoneticPr fontId="5" type="noConversion"/>
  </si>
  <si>
    <t>2019年四川省政府一般债券（五期）</t>
  </si>
  <si>
    <t>2023年四川省城乡基础设施建设专项债券（十二期）-2023年四川省政府专项债券（十二期）</t>
  </si>
  <si>
    <t>101948</t>
  </si>
  <si>
    <t>3.24</t>
  </si>
  <si>
    <t>2023年四川省城乡基础设施建设专项债券（五期）-2023年四川省政府专项债券（五期）</t>
  </si>
  <si>
    <t>2305069</t>
  </si>
  <si>
    <t>2023年四川省城乡基础设施建设专项债券（十期）-2023年四川省政府专项债券（十期）</t>
  </si>
  <si>
    <t>101946</t>
  </si>
  <si>
    <t>3.02</t>
  </si>
  <si>
    <t>2023年四川省城乡基础设施建设专项债券（三十期）-2023年四川省政府专项债券（三十一期）</t>
  </si>
  <si>
    <t>2305784</t>
  </si>
  <si>
    <t>3.11</t>
  </si>
  <si>
    <t>207文化旅游体育与传媒支出</t>
    <phoneticPr fontId="5" type="noConversion"/>
  </si>
  <si>
    <t>204公共安全支出</t>
    <phoneticPr fontId="5" type="noConversion"/>
  </si>
  <si>
    <t>2019年四川省棚户区改造专项债券（七期）-2019年四川省政府专项债券（六十一期）</t>
  </si>
  <si>
    <t>棚改专项债券</t>
  </si>
  <si>
    <t>2019年四川省棚户区改造专项债券（十一期）-2019年四川省政府专项债券（九十四期）</t>
  </si>
  <si>
    <t>2021年四川省棚户区改造专项债券（一期）-2021年四川省政府专项债券（十期）</t>
  </si>
  <si>
    <t>173719</t>
  </si>
  <si>
    <t>2021年四川省棚户区改造专项债券（六期）-2021年四川省政府专项债券（三十五期）</t>
  </si>
  <si>
    <t>2171180</t>
  </si>
  <si>
    <t>2022年四川省城市更新和产业升级基础设施专项债券（七期）—2022年四川省政府专项债券（六十三期）</t>
  </si>
  <si>
    <t>2271176</t>
  </si>
  <si>
    <t>2022年四川省棚户区改造专项债券（一期）-2022年四川省政府专项债券（九期）</t>
  </si>
  <si>
    <t>2205158</t>
  </si>
  <si>
    <t>2.57</t>
  </si>
  <si>
    <t>其他自平衡专项债券</t>
  </si>
  <si>
    <t>2022年四川省城市更新和产业升级基础设施专项债券（五期）—2022年四川省政府专项债券（五十二期）</t>
  </si>
  <si>
    <t>2271131</t>
  </si>
  <si>
    <t>3.27</t>
  </si>
  <si>
    <t>2022年四川省乡村振兴和水利建设专项债券（六期）—2022年四川省政府专项债券（五十六期）</t>
  </si>
  <si>
    <t>2271169</t>
  </si>
  <si>
    <t>3.22</t>
  </si>
  <si>
    <t>2022年四川省城乡基础设施建设专项债券（十七期）-2022年四川省政府专项债券（七十三期）</t>
  </si>
  <si>
    <t>2271778</t>
  </si>
  <si>
    <t>3.14</t>
  </si>
  <si>
    <t>2018年四川省政府一般债券（九期）</t>
    <phoneticPr fontId="5" type="noConversion"/>
  </si>
  <si>
    <t>1905129</t>
  </si>
  <si>
    <t>845AE0074A5281C6E0535EFB480AD80B</t>
  </si>
  <si>
    <t>2021年四川省城乡基础设施建设专项债券（十期）-2021年四川省政府专项债券（二十八期）</t>
  </si>
  <si>
    <t>173871</t>
  </si>
  <si>
    <t>3.62</t>
  </si>
  <si>
    <t>CF526C7D40E9169BE0535EFB480A6980</t>
  </si>
  <si>
    <t>2021年四川省城乡基础设施建设专项债券（五期）-2021年四川省政府专项债券（七期）</t>
  </si>
  <si>
    <t>173716</t>
  </si>
  <si>
    <t>3.83</t>
  </si>
  <si>
    <t>C42B8152D57D8A97E0535EFB480AD586</t>
  </si>
  <si>
    <t>2023年四川省城乡基础设施建设专项债券（二十三期）-2023年四川省政府专项债券（二十三期）</t>
  </si>
  <si>
    <t>198231</t>
  </si>
  <si>
    <t>F92F55DBF2CA65D8E0535EFB480A886C</t>
  </si>
  <si>
    <t>2022年四川省社会事业和交通基础设施专项债券（三期）—2022年四川省政府专项债券（四十七期）</t>
  </si>
  <si>
    <t>2271126</t>
  </si>
  <si>
    <t>E06F7CAE0F056D98E0535EFB480A5EFF</t>
  </si>
  <si>
    <t>2023年四川省城乡基础设施建设专项债券（二十四期）-2023年四川省政府专项债券（二十四期）</t>
  </si>
  <si>
    <t>198232</t>
  </si>
  <si>
    <t>F90BA359CBE165F4E0535EFB480AAB8D</t>
  </si>
  <si>
    <t>2022年四川省城乡基础设施建设专项债券（十期）-2022年四川省政府专项债券（二十六期）</t>
  </si>
  <si>
    <t>2205230</t>
  </si>
  <si>
    <t>D87F8EB57AF02023E0535EFB480A3995</t>
  </si>
  <si>
    <t>222粮油物资储备支出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</si>
</sst>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0"/>
    <numFmt numFmtId="177" formatCode="0.00_ "/>
    <numFmt numFmtId="178" formatCode="0.00_);[Red]\(0.00\)"/>
    <numFmt numFmtId="179" formatCode="yyyy/m/d;@"/>
    <numFmt numFmtId="180" formatCode="#,##0.00_ "/>
  </numFmts>
  <fonts count="10">
    <font>
      <sz val="11"/>
      <color indexed="8"/>
      <name val="宋体"/>
      <family val="2"/>
      <charset val="1"/>
      <scheme val="minor"/>
    </font>
    <font>
      <sz val="9"/>
      <name val="SimSun"/>
      <family val="3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  <font>
      <sz val="9"/>
      <name val="SimSun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2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176" fontId="4" fillId="0" borderId="18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177" fontId="8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180" fontId="4" fillId="0" borderId="10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center" vertical="center" wrapText="1"/>
    </xf>
    <xf numFmtId="177" fontId="8" fillId="0" borderId="2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4" fontId="4" fillId="0" borderId="24" xfId="0" applyNumberFormat="1" applyFont="1" applyBorder="1" applyAlignment="1">
      <alignment horizontal="right" vertical="center" wrapText="1"/>
    </xf>
    <xf numFmtId="0" fontId="4" fillId="0" borderId="11" xfId="0" applyFont="1" applyFill="1" applyBorder="1" applyAlignment="1">
      <alignment vertical="center" wrapText="1"/>
    </xf>
    <xf numFmtId="176" fontId="4" fillId="0" borderId="10" xfId="0" applyNumberFormat="1" applyFont="1" applyBorder="1" applyAlignment="1">
      <alignment vertical="center" wrapText="1"/>
    </xf>
    <xf numFmtId="180" fontId="4" fillId="0" borderId="10" xfId="0" applyNumberFormat="1" applyFont="1" applyBorder="1" applyAlignment="1">
      <alignment vertical="center" wrapText="1"/>
    </xf>
    <xf numFmtId="178" fontId="7" fillId="0" borderId="21" xfId="0" applyNumberFormat="1" applyFont="1" applyFill="1" applyBorder="1" applyAlignment="1">
      <alignment vertical="center" wrapText="1"/>
    </xf>
    <xf numFmtId="178" fontId="8" fillId="0" borderId="21" xfId="0" applyNumberFormat="1" applyFont="1" applyFill="1" applyBorder="1" applyAlignment="1">
      <alignment vertical="center" wrapText="1"/>
    </xf>
    <xf numFmtId="176" fontId="4" fillId="0" borderId="10" xfId="0" applyNumberFormat="1" applyFont="1" applyFill="1" applyBorder="1" applyAlignment="1">
      <alignment vertical="center" wrapText="1"/>
    </xf>
    <xf numFmtId="180" fontId="4" fillId="0" borderId="18" xfId="0" applyNumberFormat="1" applyFont="1" applyBorder="1" applyAlignment="1">
      <alignment vertical="center" wrapText="1"/>
    </xf>
    <xf numFmtId="178" fontId="8" fillId="0" borderId="22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 wrapText="1"/>
    </xf>
    <xf numFmtId="0" fontId="0" fillId="0" borderId="21" xfId="0" applyBorder="1">
      <alignment vertical="center"/>
    </xf>
    <xf numFmtId="0" fontId="4" fillId="0" borderId="21" xfId="0" applyFont="1" applyFill="1" applyBorder="1" applyAlignment="1">
      <alignment horizontal="left" vertical="center" wrapText="1"/>
    </xf>
    <xf numFmtId="180" fontId="4" fillId="0" borderId="18" xfId="0" applyNumberFormat="1" applyFont="1" applyBorder="1" applyAlignment="1">
      <alignment horizontal="right" vertical="center" wrapText="1"/>
    </xf>
    <xf numFmtId="176" fontId="4" fillId="0" borderId="18" xfId="0" applyNumberFormat="1" applyFont="1" applyBorder="1" applyAlignment="1">
      <alignment vertical="center" wrapText="1"/>
    </xf>
    <xf numFmtId="14" fontId="9" fillId="0" borderId="21" xfId="0" applyNumberFormat="1" applyFont="1" applyBorder="1" applyAlignment="1">
      <alignment horizontal="right" vertical="center" wrapText="1"/>
    </xf>
    <xf numFmtId="179" fontId="9" fillId="0" borderId="21" xfId="0" applyNumberFormat="1" applyFont="1" applyBorder="1" applyAlignment="1">
      <alignment horizontal="right" vertical="center" wrapText="1"/>
    </xf>
    <xf numFmtId="177" fontId="8" fillId="0" borderId="21" xfId="0" applyNumberFormat="1" applyFont="1" applyFill="1" applyBorder="1" applyAlignment="1">
      <alignment horizontal="right" vertical="center" wrapText="1"/>
    </xf>
    <xf numFmtId="14" fontId="8" fillId="0" borderId="21" xfId="0" applyNumberFormat="1" applyFont="1" applyFill="1" applyBorder="1" applyAlignment="1">
      <alignment horizontal="right" vertical="center" wrapText="1"/>
    </xf>
    <xf numFmtId="0" fontId="8" fillId="0" borderId="21" xfId="0" applyFont="1" applyFill="1" applyBorder="1" applyAlignment="1">
      <alignment horizontal="right" vertical="center" wrapText="1"/>
    </xf>
    <xf numFmtId="14" fontId="7" fillId="0" borderId="2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8" fontId="8" fillId="0" borderId="23" xfId="0" applyNumberFormat="1" applyFont="1" applyFill="1" applyBorder="1" applyAlignment="1">
      <alignment vertical="center" wrapText="1"/>
    </xf>
    <xf numFmtId="178" fontId="8" fillId="0" borderId="25" xfId="0" applyNumberFormat="1" applyFont="1" applyFill="1" applyBorder="1" applyAlignment="1">
      <alignment vertical="center" wrapText="1"/>
    </xf>
    <xf numFmtId="178" fontId="8" fillId="0" borderId="26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pane xSplit="2" ySplit="8" topLeftCell="C9" activePane="bottomRight" state="frozen"/>
      <selection pane="topRight"/>
      <selection pane="bottomLeft"/>
      <selection pane="bottomRight" activeCell="F33" sqref="F33"/>
    </sheetView>
  </sheetViews>
  <sheetFormatPr defaultColWidth="10" defaultRowHeight="13.5"/>
  <cols>
    <col min="1" max="1" width="9" hidden="1"/>
    <col min="2" max="2" width="33.125" customWidth="1"/>
    <col min="3" max="3" width="11.875" customWidth="1"/>
    <col min="4" max="4" width="21.875" customWidth="1"/>
    <col min="5" max="5" width="19.375" customWidth="1"/>
    <col min="6" max="6" width="20.75" customWidth="1"/>
    <col min="7" max="7" width="13.625" customWidth="1"/>
    <col min="8" max="8" width="12.375" customWidth="1"/>
    <col min="9" max="12" width="20.5" customWidth="1"/>
    <col min="13" max="13" width="9.75" customWidth="1"/>
    <col min="14" max="16" width="9" hidden="1"/>
    <col min="17" max="17" width="9.75" customWidth="1"/>
  </cols>
  <sheetData>
    <row r="1" spans="1:16" ht="67.5" hidden="1">
      <c r="A1" s="1">
        <v>0</v>
      </c>
      <c r="B1" s="1" t="s">
        <v>0</v>
      </c>
      <c r="C1" s="1" t="s">
        <v>1</v>
      </c>
      <c r="D1" s="1" t="s">
        <v>2</v>
      </c>
    </row>
    <row r="2" spans="1:16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</row>
    <row r="3" spans="1:16" hidden="1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</row>
    <row r="4" spans="1:16" hidden="1">
      <c r="A4" s="1">
        <v>0</v>
      </c>
      <c r="B4" s="1" t="s">
        <v>22</v>
      </c>
    </row>
    <row r="5" spans="1:16" ht="27.95" customHeight="1">
      <c r="A5" s="1">
        <v>0</v>
      </c>
      <c r="B5" s="63" t="s">
        <v>151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6" ht="14.25" customHeight="1" thickBot="1">
      <c r="A6" s="1">
        <v>0</v>
      </c>
      <c r="B6" s="1"/>
      <c r="C6" s="1"/>
      <c r="D6" s="1"/>
      <c r="E6" s="1"/>
      <c r="F6" s="1"/>
      <c r="G6" s="1"/>
      <c r="H6" s="1"/>
      <c r="J6" s="1"/>
      <c r="K6" s="1"/>
      <c r="L6" s="1"/>
      <c r="M6" s="1" t="s">
        <v>23</v>
      </c>
    </row>
    <row r="7" spans="1:16" ht="18" customHeight="1" thickBot="1">
      <c r="A7" s="1">
        <v>0</v>
      </c>
      <c r="B7" s="2"/>
      <c r="C7" s="64" t="s">
        <v>24</v>
      </c>
      <c r="D7" s="64"/>
      <c r="E7" s="64"/>
      <c r="F7" s="64"/>
      <c r="G7" s="64"/>
      <c r="H7" s="64"/>
      <c r="I7" s="65" t="s">
        <v>25</v>
      </c>
      <c r="J7" s="65"/>
      <c r="K7" s="66" t="s">
        <v>26</v>
      </c>
      <c r="L7" s="66"/>
      <c r="M7" s="67" t="s">
        <v>27</v>
      </c>
    </row>
    <row r="8" spans="1:16" ht="27.2" customHeight="1" thickBot="1">
      <c r="A8" s="1">
        <v>0</v>
      </c>
      <c r="B8" s="3" t="s">
        <v>28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33</v>
      </c>
      <c r="H8" s="4" t="s">
        <v>34</v>
      </c>
      <c r="I8" s="5"/>
      <c r="J8" s="4" t="s">
        <v>35</v>
      </c>
      <c r="K8" s="5"/>
      <c r="L8" s="4" t="s">
        <v>35</v>
      </c>
      <c r="M8" s="68"/>
    </row>
    <row r="9" spans="1:16" s="32" customFormat="1" ht="14.25" customHeight="1">
      <c r="A9" s="36" t="s">
        <v>36</v>
      </c>
      <c r="B9" s="37" t="s">
        <v>420</v>
      </c>
      <c r="C9" s="37" t="s">
        <v>37</v>
      </c>
      <c r="D9" s="37" t="s">
        <v>38</v>
      </c>
      <c r="E9" s="38">
        <f>0.617+0.17+0.287</f>
        <v>1.0740000000000001</v>
      </c>
      <c r="F9" s="37" t="s">
        <v>40</v>
      </c>
      <c r="G9" s="39" t="s">
        <v>41</v>
      </c>
      <c r="H9" s="37" t="s">
        <v>42</v>
      </c>
      <c r="I9" s="35">
        <f>0.617+0.52+0.287</f>
        <v>1.4239999999999999</v>
      </c>
      <c r="J9" s="35">
        <f>0.17+0.217</f>
        <v>0.38700000000000001</v>
      </c>
      <c r="K9" s="35">
        <f>0.7468+0.23+0.287</f>
        <v>1.2638</v>
      </c>
      <c r="L9" s="35">
        <f>0.7468+0.17+0.287</f>
        <v>1.2038</v>
      </c>
      <c r="M9" s="54"/>
      <c r="N9" s="36" t="s">
        <v>39</v>
      </c>
      <c r="O9" s="36" t="s">
        <v>43</v>
      </c>
      <c r="P9" s="36"/>
    </row>
    <row r="10" spans="1:16" ht="14.25" customHeight="1">
      <c r="A10" s="1" t="s">
        <v>36</v>
      </c>
      <c r="B10" s="6" t="s">
        <v>44</v>
      </c>
      <c r="C10" s="6" t="s">
        <v>45</v>
      </c>
      <c r="D10" s="6" t="s">
        <v>38</v>
      </c>
      <c r="E10" s="7">
        <f>0.1587+0.42</f>
        <v>0.57869999999999999</v>
      </c>
      <c r="F10" s="6" t="s">
        <v>46</v>
      </c>
      <c r="G10" s="8" t="s">
        <v>47</v>
      </c>
      <c r="H10" s="6" t="s">
        <v>48</v>
      </c>
      <c r="I10" s="25">
        <f>0.2616+0.6451</f>
        <v>0.90670000000000006</v>
      </c>
      <c r="J10" s="25">
        <f>0.2616+0.5562</f>
        <v>0.81780000000000008</v>
      </c>
      <c r="K10" s="25">
        <f>0.5785+0.4198</f>
        <v>0.99829999999999997</v>
      </c>
      <c r="L10" s="25">
        <f>0.5785+0.4198</f>
        <v>0.99829999999999997</v>
      </c>
      <c r="M10" s="23"/>
      <c r="N10" s="1" t="s">
        <v>39</v>
      </c>
      <c r="O10" s="1" t="s">
        <v>49</v>
      </c>
      <c r="P10" s="1"/>
    </row>
    <row r="11" spans="1:16" s="32" customFormat="1" ht="14.25" customHeight="1">
      <c r="A11" s="36" t="s">
        <v>36</v>
      </c>
      <c r="B11" s="37" t="s">
        <v>50</v>
      </c>
      <c r="C11" s="37" t="s">
        <v>51</v>
      </c>
      <c r="D11" s="37" t="s">
        <v>38</v>
      </c>
      <c r="E11" s="38">
        <f>0.0467+0.19</f>
        <v>0.23669999999999999</v>
      </c>
      <c r="F11" s="37" t="s">
        <v>53</v>
      </c>
      <c r="G11" s="39" t="s">
        <v>54</v>
      </c>
      <c r="H11" s="37" t="s">
        <v>42</v>
      </c>
      <c r="I11" s="35">
        <f>0.1627+0.23</f>
        <v>0.39270000000000005</v>
      </c>
      <c r="J11" s="35">
        <v>0.19</v>
      </c>
      <c r="K11" s="35">
        <f>0.2342+0.22</f>
        <v>0.45419999999999999</v>
      </c>
      <c r="L11" s="35">
        <f>0.2342+0.19</f>
        <v>0.42420000000000002</v>
      </c>
      <c r="M11" s="54"/>
      <c r="N11" s="36" t="s">
        <v>52</v>
      </c>
      <c r="O11" s="36" t="s">
        <v>55</v>
      </c>
      <c r="P11" s="36"/>
    </row>
    <row r="12" spans="1:16" s="32" customFormat="1" ht="14.25" customHeight="1">
      <c r="A12" s="36" t="s">
        <v>36</v>
      </c>
      <c r="B12" s="37" t="s">
        <v>56</v>
      </c>
      <c r="C12" s="37" t="s">
        <v>57</v>
      </c>
      <c r="D12" s="37" t="s">
        <v>38</v>
      </c>
      <c r="E12" s="38">
        <f>0.0233+0.06+0.56</f>
        <v>0.64330000000000009</v>
      </c>
      <c r="F12" s="37" t="s">
        <v>58</v>
      </c>
      <c r="G12" s="39" t="s">
        <v>59</v>
      </c>
      <c r="H12" s="37" t="s">
        <v>60</v>
      </c>
      <c r="I12" s="35">
        <f>0.05+0.08+0.6586</f>
        <v>0.78859999999999997</v>
      </c>
      <c r="J12" s="35">
        <f>0.06+0.5616</f>
        <v>0.62159999999999993</v>
      </c>
      <c r="K12" s="35">
        <f>0.6474+0.07+0.5616</f>
        <v>1.2789999999999999</v>
      </c>
      <c r="L12" s="35">
        <f>0.6474+0.06+0.5616</f>
        <v>1.2690000000000001</v>
      </c>
      <c r="M12" s="54"/>
      <c r="N12" s="36" t="s">
        <v>52</v>
      </c>
      <c r="O12" s="36" t="s">
        <v>61</v>
      </c>
      <c r="P12" s="36"/>
    </row>
    <row r="13" spans="1:16" s="32" customFormat="1" ht="14.25" customHeight="1">
      <c r="A13" s="36" t="s">
        <v>36</v>
      </c>
      <c r="B13" s="37" t="s">
        <v>62</v>
      </c>
      <c r="C13" s="37" t="s">
        <v>63</v>
      </c>
      <c r="D13" s="37" t="s">
        <v>38</v>
      </c>
      <c r="E13" s="38">
        <f>0.24+0.16+0.28</f>
        <v>0.68</v>
      </c>
      <c r="F13" s="37" t="s">
        <v>64</v>
      </c>
      <c r="G13" s="39" t="s">
        <v>59</v>
      </c>
      <c r="H13" s="37" t="s">
        <v>60</v>
      </c>
      <c r="I13" s="35">
        <f>0.617+0.66+0.276</f>
        <v>1.5530000000000002</v>
      </c>
      <c r="J13" s="35">
        <f>0.16+0.276</f>
        <v>0.43600000000000005</v>
      </c>
      <c r="K13" s="35">
        <f>0.676+0.3+0.276</f>
        <v>1.252</v>
      </c>
      <c r="L13" s="35">
        <f>0.676+0.16+0.276</f>
        <v>1.1120000000000001</v>
      </c>
      <c r="M13" s="54"/>
      <c r="N13" s="36" t="s">
        <v>52</v>
      </c>
      <c r="O13" s="36" t="s">
        <v>65</v>
      </c>
      <c r="P13" s="36"/>
    </row>
    <row r="14" spans="1:16" s="32" customFormat="1" ht="14.25" customHeight="1">
      <c r="A14" s="36" t="s">
        <v>36</v>
      </c>
      <c r="B14" s="37" t="s">
        <v>66</v>
      </c>
      <c r="C14" s="37" t="s">
        <v>67</v>
      </c>
      <c r="D14" s="37" t="s">
        <v>38</v>
      </c>
      <c r="E14" s="38">
        <f>0.2152+0.47+0.37</f>
        <v>1.0552000000000001</v>
      </c>
      <c r="F14" s="37" t="s">
        <v>68</v>
      </c>
      <c r="G14" s="39" t="s">
        <v>69</v>
      </c>
      <c r="H14" s="37" t="s">
        <v>42</v>
      </c>
      <c r="I14" s="35">
        <f>0.4593+0.53+0.3683</f>
        <v>1.3576000000000001</v>
      </c>
      <c r="J14" s="35">
        <f>0.2616+0.47+0.3683</f>
        <v>1.0999000000000001</v>
      </c>
      <c r="K14" s="35">
        <f>1.0512+0.51+0.3683</f>
        <v>1.9295</v>
      </c>
      <c r="L14" s="35">
        <f>1.0512+0.47+0.3683</f>
        <v>1.8895</v>
      </c>
      <c r="M14" s="54"/>
      <c r="N14" s="36" t="s">
        <v>39</v>
      </c>
      <c r="O14" s="36" t="s">
        <v>70</v>
      </c>
      <c r="P14" s="36"/>
    </row>
    <row r="15" spans="1:16" s="32" customFormat="1" ht="14.25" customHeight="1">
      <c r="A15" s="19" t="s">
        <v>36</v>
      </c>
      <c r="B15" s="37" t="s">
        <v>152</v>
      </c>
      <c r="C15" s="37" t="s">
        <v>153</v>
      </c>
      <c r="D15" s="37" t="s">
        <v>38</v>
      </c>
      <c r="E15" s="38">
        <f>1.07+0.13+0.49</f>
        <v>1.6900000000000002</v>
      </c>
      <c r="F15" s="37" t="s">
        <v>155</v>
      </c>
      <c r="G15" s="39" t="s">
        <v>59</v>
      </c>
      <c r="H15" s="37" t="s">
        <v>42</v>
      </c>
      <c r="I15" s="35">
        <f>11.066+0.39+1.3477</f>
        <v>12.803700000000001</v>
      </c>
      <c r="J15" s="35">
        <f>1.07+0.13+0.7909</f>
        <v>1.9909000000000003</v>
      </c>
      <c r="K15" s="35">
        <f>0.418+0.13</f>
        <v>0.54800000000000004</v>
      </c>
      <c r="L15" s="35">
        <f>0.418+0.13</f>
        <v>0.54800000000000004</v>
      </c>
      <c r="M15" s="54"/>
      <c r="N15" s="19" t="s">
        <v>154</v>
      </c>
      <c r="O15" s="19" t="s">
        <v>156</v>
      </c>
      <c r="P15" s="19"/>
    </row>
    <row r="16" spans="1:16" s="32" customFormat="1" ht="14.25" customHeight="1">
      <c r="A16" s="19" t="s">
        <v>36</v>
      </c>
      <c r="B16" s="37" t="s">
        <v>157</v>
      </c>
      <c r="C16" s="37" t="s">
        <v>158</v>
      </c>
      <c r="D16" s="37" t="s">
        <v>38</v>
      </c>
      <c r="E16" s="38">
        <f>0.8614+0.13+0.09</f>
        <v>1.0814000000000001</v>
      </c>
      <c r="F16" s="37" t="s">
        <v>160</v>
      </c>
      <c r="G16" s="39" t="s">
        <v>161</v>
      </c>
      <c r="H16" s="37" t="s">
        <v>162</v>
      </c>
      <c r="I16" s="35">
        <f>1.495347+0.97+1.3835</f>
        <v>3.8488470000000001</v>
      </c>
      <c r="J16" s="35">
        <f>0.51953+0.13+0.1</f>
        <v>0.74953000000000003</v>
      </c>
      <c r="K16" s="35">
        <f>1.0849+0.52+0.09</f>
        <v>1.6949000000000001</v>
      </c>
      <c r="L16" s="35">
        <f>1.0849+0.13+0.09</f>
        <v>1.3049000000000002</v>
      </c>
      <c r="M16" s="54"/>
      <c r="N16" s="19" t="s">
        <v>159</v>
      </c>
      <c r="O16" s="19" t="s">
        <v>163</v>
      </c>
      <c r="P16" s="19"/>
    </row>
    <row r="17" spans="1:16" s="32" customFormat="1" ht="14.25" customHeight="1">
      <c r="A17" s="19" t="s">
        <v>36</v>
      </c>
      <c r="B17" s="37" t="s">
        <v>164</v>
      </c>
      <c r="C17" s="37" t="s">
        <v>165</v>
      </c>
      <c r="D17" s="37" t="s">
        <v>38</v>
      </c>
      <c r="E17" s="38">
        <f>0.93+0.11+0.43</f>
        <v>1.47</v>
      </c>
      <c r="F17" s="37" t="s">
        <v>155</v>
      </c>
      <c r="G17" s="39" t="s">
        <v>110</v>
      </c>
      <c r="H17" s="37" t="s">
        <v>60</v>
      </c>
      <c r="I17" s="35">
        <f>1.974031+0.83+1.306</f>
        <v>4.1100310000000002</v>
      </c>
      <c r="J17" s="35">
        <f>0.918375+0.11+0.8407</f>
        <v>1.869075</v>
      </c>
      <c r="K17" s="35">
        <f>0.07+0.12</f>
        <v>0.19</v>
      </c>
      <c r="L17" s="35">
        <f>0.07+0.11</f>
        <v>0.18</v>
      </c>
      <c r="M17" s="54"/>
      <c r="N17" s="19" t="s">
        <v>154</v>
      </c>
      <c r="O17" s="19" t="s">
        <v>166</v>
      </c>
      <c r="P17" s="19"/>
    </row>
    <row r="18" spans="1:16" s="32" customFormat="1" ht="14.25" customHeight="1">
      <c r="A18" s="19" t="s">
        <v>36</v>
      </c>
      <c r="B18" s="37" t="s">
        <v>167</v>
      </c>
      <c r="C18" s="37" t="s">
        <v>168</v>
      </c>
      <c r="D18" s="37" t="s">
        <v>38</v>
      </c>
      <c r="E18" s="38">
        <f>0.5865+0.12+0.16</f>
        <v>0.86650000000000005</v>
      </c>
      <c r="F18" s="37" t="s">
        <v>160</v>
      </c>
      <c r="G18" s="39" t="s">
        <v>169</v>
      </c>
      <c r="H18" s="37" t="s">
        <v>42</v>
      </c>
      <c r="I18" s="35">
        <f>1.0891034965+1.38+2.2625</f>
        <v>4.7316034965</v>
      </c>
      <c r="J18" s="35">
        <f>0.29856075+0.12+0.3065</f>
        <v>0.72506074999999992</v>
      </c>
      <c r="K18" s="35">
        <f>0.87+1.22+0.1635</f>
        <v>2.2534999999999998</v>
      </c>
      <c r="L18" s="35">
        <f>0.87+0.12+0.1635</f>
        <v>1.1535</v>
      </c>
      <c r="M18" s="54"/>
      <c r="N18" s="19" t="s">
        <v>159</v>
      </c>
      <c r="O18" s="19" t="s">
        <v>170</v>
      </c>
      <c r="P18" s="19"/>
    </row>
    <row r="19" spans="1:16" s="32" customFormat="1" ht="14.25" customHeight="1">
      <c r="A19" s="19" t="s">
        <v>36</v>
      </c>
      <c r="B19" s="37" t="s">
        <v>257</v>
      </c>
      <c r="C19" s="37" t="s">
        <v>258</v>
      </c>
      <c r="D19" s="37" t="s">
        <v>38</v>
      </c>
      <c r="E19" s="38">
        <f>0.0982+0.2036+0.15</f>
        <v>0.45179999999999998</v>
      </c>
      <c r="F19" s="37" t="s">
        <v>260</v>
      </c>
      <c r="G19" s="39" t="s">
        <v>261</v>
      </c>
      <c r="H19" s="37" t="s">
        <v>60</v>
      </c>
      <c r="I19" s="35">
        <f>0.660133+2.66+0.967</f>
        <v>4.2871329999999999</v>
      </c>
      <c r="J19" s="35">
        <f>0.1177+2.14+0.4854</f>
        <v>2.7431000000000001</v>
      </c>
      <c r="K19" s="35">
        <f>0.4514+0.2+0.1496</f>
        <v>0.80099999999999993</v>
      </c>
      <c r="L19" s="35">
        <f>0.4514+0.2+0.1496</f>
        <v>0.80099999999999993</v>
      </c>
      <c r="M19" s="54"/>
      <c r="N19" s="19" t="s">
        <v>259</v>
      </c>
      <c r="O19" s="19" t="s">
        <v>262</v>
      </c>
      <c r="P19" s="19"/>
    </row>
    <row r="20" spans="1:16" s="32" customFormat="1" ht="14.25" customHeight="1">
      <c r="A20" s="19" t="s">
        <v>36</v>
      </c>
      <c r="B20" s="37" t="s">
        <v>263</v>
      </c>
      <c r="C20" s="37" t="s">
        <v>264</v>
      </c>
      <c r="D20" s="37" t="s">
        <v>38</v>
      </c>
      <c r="E20" s="38">
        <f>0.5236+0.07+0.12</f>
        <v>0.7135999999999999</v>
      </c>
      <c r="F20" s="37" t="s">
        <v>265</v>
      </c>
      <c r="G20" s="39" t="s">
        <v>266</v>
      </c>
      <c r="H20" s="37" t="s">
        <v>42</v>
      </c>
      <c r="I20" s="35">
        <f>68.48+2.54+1.8782</f>
        <v>72.898200000000017</v>
      </c>
      <c r="J20" s="35">
        <f>1.508+2.48+1.4865</f>
        <v>5.4744999999999999</v>
      </c>
      <c r="K20" s="35">
        <f>0.7098+0.07+0.1165</f>
        <v>0.8963000000000001</v>
      </c>
      <c r="L20" s="35">
        <f>0.7098+0.07+0.1165</f>
        <v>0.8963000000000001</v>
      </c>
      <c r="M20" s="54"/>
      <c r="N20" s="19" t="s">
        <v>259</v>
      </c>
      <c r="O20" s="19" t="s">
        <v>267</v>
      </c>
      <c r="P20" s="19"/>
    </row>
    <row r="21" spans="1:16" s="32" customFormat="1" ht="14.25" customHeight="1">
      <c r="A21" s="19" t="s">
        <v>36</v>
      </c>
      <c r="B21" s="37" t="s">
        <v>268</v>
      </c>
      <c r="C21" s="37" t="s">
        <v>269</v>
      </c>
      <c r="D21" s="37" t="s">
        <v>38</v>
      </c>
      <c r="E21" s="38">
        <f>0.2746+0.04+0.06</f>
        <v>0.37459999999999999</v>
      </c>
      <c r="F21" s="37" t="s">
        <v>265</v>
      </c>
      <c r="G21" s="39" t="s">
        <v>270</v>
      </c>
      <c r="H21" s="37" t="s">
        <v>231</v>
      </c>
      <c r="I21" s="35">
        <f>3.637941+2.65+0.332</f>
        <v>6.6199409999999999</v>
      </c>
      <c r="J21" s="35">
        <f>0.8695+2.56+0.2312</f>
        <v>3.6606999999999998</v>
      </c>
      <c r="K21" s="35">
        <f>0.3725+0.04+0.0612</f>
        <v>0.47369999999999995</v>
      </c>
      <c r="L21" s="35">
        <f>0.3725+0.04+0.00612</f>
        <v>0.41861999999999999</v>
      </c>
      <c r="M21" s="54"/>
      <c r="N21" s="19" t="s">
        <v>259</v>
      </c>
      <c r="O21" s="19" t="s">
        <v>271</v>
      </c>
      <c r="P21" s="19"/>
    </row>
    <row r="22" spans="1:16" ht="14.25" customHeight="1">
      <c r="A22" s="17" t="s">
        <v>36</v>
      </c>
      <c r="B22" s="6" t="s">
        <v>272</v>
      </c>
      <c r="C22" s="6" t="s">
        <v>273</v>
      </c>
      <c r="D22" s="6" t="s">
        <v>38</v>
      </c>
      <c r="E22" s="7">
        <f>0.7736+0.02</f>
        <v>0.79359999999999997</v>
      </c>
      <c r="F22" s="6" t="s">
        <v>260</v>
      </c>
      <c r="G22" s="8" t="s">
        <v>274</v>
      </c>
      <c r="H22" s="6" t="s">
        <v>42</v>
      </c>
      <c r="I22" s="25">
        <f>69.476141+0.3227</f>
        <v>69.798840999999996</v>
      </c>
      <c r="J22" s="25">
        <f>2.3092+0.116</f>
        <v>2.4252000000000002</v>
      </c>
      <c r="K22" s="25">
        <f>0.7963+0.227</f>
        <v>1.0233000000000001</v>
      </c>
      <c r="L22" s="25">
        <f>0.7963+0.227</f>
        <v>1.0233000000000001</v>
      </c>
      <c r="M22" s="23"/>
      <c r="N22" s="17" t="s">
        <v>259</v>
      </c>
      <c r="O22" s="17" t="s">
        <v>275</v>
      </c>
      <c r="P22" s="17"/>
    </row>
    <row r="23" spans="1:16" s="32" customFormat="1" ht="14.25" customHeight="1">
      <c r="A23" s="19" t="s">
        <v>36</v>
      </c>
      <c r="B23" s="37" t="s">
        <v>276</v>
      </c>
      <c r="C23" s="37" t="s">
        <v>277</v>
      </c>
      <c r="D23" s="37" t="s">
        <v>38</v>
      </c>
      <c r="E23" s="38">
        <f>0.2758+1.15+0.34</f>
        <v>1.7658</v>
      </c>
      <c r="F23" s="37" t="s">
        <v>279</v>
      </c>
      <c r="G23" s="39" t="s">
        <v>126</v>
      </c>
      <c r="H23" s="37" t="s">
        <v>60</v>
      </c>
      <c r="I23" s="35">
        <f>0.6784+2.12+0.4207</f>
        <v>3.2191000000000001</v>
      </c>
      <c r="J23" s="35">
        <f>0.2734+1.15+0.0597</f>
        <v>1.4831000000000001</v>
      </c>
      <c r="K23" s="35">
        <f>1.7536+1.15+0.3397</f>
        <v>3.2433000000000001</v>
      </c>
      <c r="L23" s="35">
        <f>1.7536+1.15+0.3397</f>
        <v>3.2433000000000001</v>
      </c>
      <c r="M23" s="54"/>
      <c r="N23" s="19" t="s">
        <v>278</v>
      </c>
      <c r="O23" s="19" t="s">
        <v>280</v>
      </c>
      <c r="P23" s="19"/>
    </row>
    <row r="24" spans="1:16" s="21" customFormat="1" ht="14.25" customHeight="1">
      <c r="A24" s="19" t="s">
        <v>36</v>
      </c>
      <c r="B24" s="37" t="s">
        <v>384</v>
      </c>
      <c r="C24" s="37" t="s">
        <v>421</v>
      </c>
      <c r="D24" s="37" t="s">
        <v>38</v>
      </c>
      <c r="E24" s="38">
        <v>1.6999999999999999E-3</v>
      </c>
      <c r="F24" s="37" t="s">
        <v>91</v>
      </c>
      <c r="G24" s="39" t="s">
        <v>110</v>
      </c>
      <c r="H24" s="37" t="s">
        <v>42</v>
      </c>
      <c r="I24" s="25">
        <v>0.65864</v>
      </c>
      <c r="J24" s="25">
        <v>0.56159999999999999</v>
      </c>
      <c r="K24" s="25">
        <v>0</v>
      </c>
      <c r="L24" s="25">
        <v>0</v>
      </c>
      <c r="M24" s="54"/>
      <c r="N24" s="19" t="s">
        <v>52</v>
      </c>
      <c r="O24" s="19" t="s">
        <v>422</v>
      </c>
      <c r="P24" s="19"/>
    </row>
  </sheetData>
  <autoFilter ref="A8:Q24"/>
  <mergeCells count="5">
    <mergeCell ref="B5:M5"/>
    <mergeCell ref="C7:H7"/>
    <mergeCell ref="I7:J7"/>
    <mergeCell ref="K7:L7"/>
    <mergeCell ref="M7:M8"/>
  </mergeCells>
  <phoneticPr fontId="5" type="noConversion"/>
  <pageMargins left="0.39300000667572021" right="0.39300000667572021" top="0.39300000667572021" bottom="0.3930000066757202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zoomScale="90" zoomScaleNormal="90" workbookViewId="0">
      <pane xSplit="2" ySplit="8" topLeftCell="C61" activePane="bottomRight" state="frozen"/>
      <selection pane="topRight"/>
      <selection pane="bottomLeft"/>
      <selection pane="bottomRight" activeCell="D75" sqref="D75"/>
    </sheetView>
  </sheetViews>
  <sheetFormatPr defaultColWidth="10" defaultRowHeight="13.5"/>
  <cols>
    <col min="1" max="1" width="9" hidden="1"/>
    <col min="2" max="2" width="63.875" customWidth="1"/>
    <col min="3" max="3" width="13.125" customWidth="1"/>
    <col min="4" max="4" width="20.5" customWidth="1"/>
    <col min="5" max="5" width="19.375" customWidth="1"/>
    <col min="6" max="6" width="20.75" customWidth="1"/>
    <col min="7" max="7" width="13.625" customWidth="1"/>
    <col min="8" max="8" width="12.375" customWidth="1"/>
    <col min="9" max="9" width="15.5" customWidth="1"/>
    <col min="10" max="13" width="20.5" customWidth="1"/>
    <col min="14" max="14" width="16" customWidth="1"/>
    <col min="15" max="15" width="9.75" customWidth="1"/>
    <col min="16" max="18" width="9" hidden="1"/>
    <col min="19" max="19" width="9.75" customWidth="1"/>
  </cols>
  <sheetData>
    <row r="1" spans="1:18" ht="67.5" hidden="1">
      <c r="A1" s="1">
        <v>0</v>
      </c>
      <c r="B1" s="1" t="s">
        <v>0</v>
      </c>
      <c r="C1" s="1" t="s">
        <v>71</v>
      </c>
    </row>
    <row r="2" spans="1:18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72</v>
      </c>
      <c r="G2" s="1"/>
      <c r="H2" s="1"/>
    </row>
    <row r="3" spans="1:18" hidden="1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73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74</v>
      </c>
      <c r="O3" s="1" t="s">
        <v>18</v>
      </c>
      <c r="P3" s="1" t="s">
        <v>19</v>
      </c>
      <c r="Q3" s="1" t="s">
        <v>20</v>
      </c>
      <c r="R3" s="1" t="s">
        <v>21</v>
      </c>
    </row>
    <row r="4" spans="1:18" ht="14.25" customHeight="1">
      <c r="A4" s="1">
        <v>0</v>
      </c>
      <c r="B4" s="1" t="s">
        <v>22</v>
      </c>
    </row>
    <row r="5" spans="1:18" ht="27.95" customHeight="1">
      <c r="A5" s="1">
        <v>0</v>
      </c>
      <c r="B5" s="63" t="s">
        <v>377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8" ht="14.25" customHeight="1" thickBot="1">
      <c r="A6" s="1">
        <v>0</v>
      </c>
      <c r="B6" s="1"/>
      <c r="C6" s="1"/>
      <c r="D6" s="1"/>
      <c r="E6" s="1"/>
      <c r="F6" s="1"/>
      <c r="G6" s="1"/>
      <c r="H6" s="1"/>
      <c r="K6" s="1"/>
      <c r="L6" s="1"/>
      <c r="M6" s="1"/>
      <c r="O6" s="1" t="s">
        <v>23</v>
      </c>
    </row>
    <row r="7" spans="1:18" ht="18" customHeight="1" thickBot="1">
      <c r="A7" s="1">
        <v>0</v>
      </c>
      <c r="B7" s="2"/>
      <c r="C7" s="64" t="s">
        <v>24</v>
      </c>
      <c r="D7" s="64"/>
      <c r="E7" s="64"/>
      <c r="F7" s="64"/>
      <c r="G7" s="64"/>
      <c r="H7" s="64"/>
      <c r="I7" s="72" t="s">
        <v>75</v>
      </c>
      <c r="J7" s="65" t="s">
        <v>25</v>
      </c>
      <c r="K7" s="65"/>
      <c r="L7" s="66" t="s">
        <v>26</v>
      </c>
      <c r="M7" s="66"/>
      <c r="N7" s="73" t="s">
        <v>76</v>
      </c>
      <c r="O7" s="74" t="s">
        <v>27</v>
      </c>
    </row>
    <row r="8" spans="1:18" ht="27.2" customHeight="1" thickBot="1">
      <c r="A8" s="1">
        <v>0</v>
      </c>
      <c r="B8" s="3" t="s">
        <v>28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33</v>
      </c>
      <c r="H8" s="4" t="s">
        <v>34</v>
      </c>
      <c r="I8" s="72"/>
      <c r="J8" s="5"/>
      <c r="K8" s="4" t="s">
        <v>35</v>
      </c>
      <c r="L8" s="5"/>
      <c r="M8" s="4" t="s">
        <v>35</v>
      </c>
      <c r="N8" s="73"/>
      <c r="O8" s="74"/>
    </row>
    <row r="9" spans="1:18" ht="40.700000000000003" customHeight="1">
      <c r="A9" s="1" t="s">
        <v>36</v>
      </c>
      <c r="B9" s="6" t="s">
        <v>77</v>
      </c>
      <c r="C9" s="6" t="s">
        <v>78</v>
      </c>
      <c r="D9" s="6" t="s">
        <v>79</v>
      </c>
      <c r="E9" s="7">
        <v>1.9</v>
      </c>
      <c r="F9" s="8" t="s">
        <v>80</v>
      </c>
      <c r="G9" s="8" t="s">
        <v>81</v>
      </c>
      <c r="H9" s="8" t="s">
        <v>48</v>
      </c>
      <c r="I9" s="10"/>
      <c r="J9" s="9">
        <v>27.451567000000001</v>
      </c>
      <c r="K9" s="9">
        <v>18.3</v>
      </c>
      <c r="L9" s="9">
        <v>9.7335670000000007</v>
      </c>
      <c r="M9" s="9">
        <v>5.39</v>
      </c>
      <c r="N9" s="22">
        <v>0</v>
      </c>
      <c r="O9" s="23"/>
      <c r="P9" s="1" t="s">
        <v>52</v>
      </c>
      <c r="Q9" s="1" t="s">
        <v>82</v>
      </c>
      <c r="R9" s="1"/>
    </row>
    <row r="10" spans="1:18" ht="40.700000000000003" customHeight="1">
      <c r="A10" s="1" t="s">
        <v>36</v>
      </c>
      <c r="B10" s="6" t="s">
        <v>83</v>
      </c>
      <c r="C10" s="6" t="s">
        <v>84</v>
      </c>
      <c r="D10" s="6" t="s">
        <v>79</v>
      </c>
      <c r="E10" s="7">
        <f>2.75+2</f>
        <v>4.75</v>
      </c>
      <c r="F10" s="8" t="s">
        <v>85</v>
      </c>
      <c r="G10" s="8" t="s">
        <v>86</v>
      </c>
      <c r="H10" s="8" t="s">
        <v>48</v>
      </c>
      <c r="I10" s="10"/>
      <c r="J10" s="9">
        <f>29.858419+3.8784</f>
        <v>33.736819000000004</v>
      </c>
      <c r="K10" s="9">
        <f>16.581509+3</f>
        <v>19.581509</v>
      </c>
      <c r="L10" s="9">
        <f>9.434561+2.21</f>
        <v>11.644560999999999</v>
      </c>
      <c r="M10" s="9">
        <f>7.910021+2.21</f>
        <v>10.120021000000001</v>
      </c>
      <c r="N10" s="22">
        <v>0</v>
      </c>
      <c r="O10" s="23"/>
      <c r="P10" s="1" t="s">
        <v>39</v>
      </c>
      <c r="Q10" s="1" t="s">
        <v>87</v>
      </c>
      <c r="R10" s="1"/>
    </row>
    <row r="11" spans="1:18" ht="40.700000000000003" customHeight="1">
      <c r="A11" s="1" t="s">
        <v>36</v>
      </c>
      <c r="B11" s="6" t="s">
        <v>88</v>
      </c>
      <c r="C11" s="6" t="s">
        <v>89</v>
      </c>
      <c r="D11" s="6" t="s">
        <v>90</v>
      </c>
      <c r="E11" s="7">
        <v>0.35</v>
      </c>
      <c r="F11" s="8" t="s">
        <v>91</v>
      </c>
      <c r="G11" s="8" t="s">
        <v>59</v>
      </c>
      <c r="H11" s="8" t="s">
        <v>60</v>
      </c>
      <c r="I11" s="10"/>
      <c r="J11" s="9">
        <v>1.5247999999999999</v>
      </c>
      <c r="K11" s="9">
        <v>0.55000000000000004</v>
      </c>
      <c r="L11" s="9">
        <v>1.3248139999999999</v>
      </c>
      <c r="M11" s="9">
        <v>0.35</v>
      </c>
      <c r="N11" s="22">
        <v>0</v>
      </c>
      <c r="O11" s="23"/>
      <c r="P11" s="1" t="s">
        <v>52</v>
      </c>
      <c r="Q11" s="1" t="s">
        <v>92</v>
      </c>
      <c r="R11" s="1"/>
    </row>
    <row r="12" spans="1:18" ht="44.25" customHeight="1">
      <c r="A12" s="1" t="s">
        <v>36</v>
      </c>
      <c r="B12" s="6" t="s">
        <v>93</v>
      </c>
      <c r="C12" s="6" t="s">
        <v>94</v>
      </c>
      <c r="D12" s="6" t="s">
        <v>79</v>
      </c>
      <c r="E12" s="7">
        <f>2.25+0.21</f>
        <v>2.46</v>
      </c>
      <c r="F12" s="8" t="s">
        <v>95</v>
      </c>
      <c r="G12" s="8" t="s">
        <v>96</v>
      </c>
      <c r="H12" s="8" t="s">
        <v>48</v>
      </c>
      <c r="I12" s="10"/>
      <c r="J12" s="9">
        <f>23.3785+3.8784</f>
        <v>27.256899999999998</v>
      </c>
      <c r="K12" s="9">
        <f>13+3</f>
        <v>16</v>
      </c>
      <c r="L12" s="9">
        <f>8.22+2.21</f>
        <v>10.43</v>
      </c>
      <c r="M12" s="9">
        <f>6.7+2.21</f>
        <v>8.91</v>
      </c>
      <c r="N12" s="22">
        <v>0</v>
      </c>
      <c r="O12" s="23"/>
      <c r="P12" s="1" t="s">
        <v>39</v>
      </c>
      <c r="Q12" s="1" t="s">
        <v>97</v>
      </c>
      <c r="R12" s="1"/>
    </row>
    <row r="13" spans="1:18" ht="40.700000000000003" customHeight="1">
      <c r="A13" s="1" t="s">
        <v>36</v>
      </c>
      <c r="B13" s="6" t="s">
        <v>98</v>
      </c>
      <c r="C13" s="6" t="s">
        <v>99</v>
      </c>
      <c r="D13" s="6" t="s">
        <v>79</v>
      </c>
      <c r="E13" s="7">
        <v>2.25</v>
      </c>
      <c r="F13" s="8" t="s">
        <v>85</v>
      </c>
      <c r="G13" s="8" t="s">
        <v>100</v>
      </c>
      <c r="H13" s="8" t="s">
        <v>101</v>
      </c>
      <c r="I13" s="10"/>
      <c r="J13" s="9">
        <v>25.1785</v>
      </c>
      <c r="K13" s="9">
        <v>14.8</v>
      </c>
      <c r="L13" s="9">
        <v>10.02</v>
      </c>
      <c r="M13" s="9">
        <v>8.5</v>
      </c>
      <c r="N13" s="22">
        <v>0</v>
      </c>
      <c r="O13" s="23"/>
      <c r="P13" s="1" t="s">
        <v>39</v>
      </c>
      <c r="Q13" s="1" t="s">
        <v>102</v>
      </c>
      <c r="R13" s="1"/>
    </row>
    <row r="14" spans="1:18" ht="40.700000000000003" customHeight="1">
      <c r="A14" s="1" t="s">
        <v>36</v>
      </c>
      <c r="B14" s="6" t="s">
        <v>103</v>
      </c>
      <c r="C14" s="6" t="s">
        <v>104</v>
      </c>
      <c r="D14" s="6" t="s">
        <v>79</v>
      </c>
      <c r="E14" s="7">
        <v>1.7</v>
      </c>
      <c r="F14" s="8" t="s">
        <v>64</v>
      </c>
      <c r="G14" s="8" t="s">
        <v>105</v>
      </c>
      <c r="H14" s="8" t="s">
        <v>48</v>
      </c>
      <c r="I14" s="10"/>
      <c r="J14" s="9">
        <v>23.378499999999999</v>
      </c>
      <c r="K14" s="9">
        <v>13</v>
      </c>
      <c r="L14" s="9">
        <v>8.2200000000000006</v>
      </c>
      <c r="M14" s="9">
        <v>6.7</v>
      </c>
      <c r="N14" s="22">
        <v>0</v>
      </c>
      <c r="O14" s="23"/>
      <c r="P14" s="1" t="s">
        <v>52</v>
      </c>
      <c r="Q14" s="1" t="s">
        <v>106</v>
      </c>
      <c r="R14" s="1"/>
    </row>
    <row r="15" spans="1:18" ht="40.700000000000003" customHeight="1">
      <c r="A15" s="1" t="s">
        <v>36</v>
      </c>
      <c r="B15" s="6" t="s">
        <v>107</v>
      </c>
      <c r="C15" s="6" t="s">
        <v>108</v>
      </c>
      <c r="D15" s="6" t="s">
        <v>90</v>
      </c>
      <c r="E15" s="7">
        <v>1</v>
      </c>
      <c r="F15" s="8" t="s">
        <v>109</v>
      </c>
      <c r="G15" s="8" t="s">
        <v>110</v>
      </c>
      <c r="H15" s="8" t="s">
        <v>60</v>
      </c>
      <c r="I15" s="10"/>
      <c r="J15" s="9">
        <v>5.5328010000000001</v>
      </c>
      <c r="K15" s="9">
        <v>2.75</v>
      </c>
      <c r="L15" s="9">
        <v>2.7502789999999999</v>
      </c>
      <c r="M15" s="9">
        <v>2.7500000000000002E-4</v>
      </c>
      <c r="N15" s="22">
        <v>0</v>
      </c>
      <c r="O15" s="23"/>
      <c r="P15" s="1" t="s">
        <v>52</v>
      </c>
      <c r="Q15" s="1" t="s">
        <v>111</v>
      </c>
      <c r="R15" s="1"/>
    </row>
    <row r="16" spans="1:18" ht="40.700000000000003" customHeight="1">
      <c r="A16" s="1" t="s">
        <v>36</v>
      </c>
      <c r="B16" s="6" t="s">
        <v>112</v>
      </c>
      <c r="C16" s="6" t="s">
        <v>113</v>
      </c>
      <c r="D16" s="6" t="s">
        <v>90</v>
      </c>
      <c r="E16" s="7">
        <v>0.7</v>
      </c>
      <c r="F16" s="8" t="s">
        <v>80</v>
      </c>
      <c r="G16" s="8" t="s">
        <v>114</v>
      </c>
      <c r="H16" s="8" t="s">
        <v>60</v>
      </c>
      <c r="I16" s="10"/>
      <c r="J16" s="9">
        <v>1.7119450000000001</v>
      </c>
      <c r="K16" s="9">
        <v>0.7</v>
      </c>
      <c r="L16" s="9">
        <v>1.321359</v>
      </c>
      <c r="M16" s="9">
        <v>0.7</v>
      </c>
      <c r="N16" s="22">
        <v>0</v>
      </c>
      <c r="O16" s="23"/>
      <c r="P16" s="1" t="s">
        <v>52</v>
      </c>
      <c r="Q16" s="1" t="s">
        <v>115</v>
      </c>
      <c r="R16" s="1"/>
    </row>
    <row r="17" spans="1:18" ht="40.700000000000003" customHeight="1">
      <c r="A17" s="1" t="s">
        <v>36</v>
      </c>
      <c r="B17" s="6" t="s">
        <v>116</v>
      </c>
      <c r="C17" s="6" t="s">
        <v>117</v>
      </c>
      <c r="D17" s="6" t="s">
        <v>79</v>
      </c>
      <c r="E17" s="7">
        <f>0.77+0.42</f>
        <v>1.19</v>
      </c>
      <c r="F17" s="8" t="s">
        <v>91</v>
      </c>
      <c r="G17" s="8" t="s">
        <v>118</v>
      </c>
      <c r="H17" s="8" t="s">
        <v>48</v>
      </c>
      <c r="I17" s="10"/>
      <c r="J17" s="9">
        <f>20.6697+2</f>
        <v>22.669699999999999</v>
      </c>
      <c r="K17" s="9">
        <f>12.5+2</f>
        <v>14.5</v>
      </c>
      <c r="L17" s="9">
        <v>6.4516999999999998</v>
      </c>
      <c r="M17" s="9">
        <v>3.09</v>
      </c>
      <c r="N17" s="22">
        <v>0</v>
      </c>
      <c r="O17" s="23"/>
      <c r="P17" s="1" t="s">
        <v>52</v>
      </c>
      <c r="Q17" s="1" t="s">
        <v>119</v>
      </c>
      <c r="R17" s="1"/>
    </row>
    <row r="18" spans="1:18" ht="40.700000000000003" customHeight="1">
      <c r="A18" s="1" t="s">
        <v>36</v>
      </c>
      <c r="B18" s="6" t="s">
        <v>120</v>
      </c>
      <c r="C18" s="6" t="s">
        <v>121</v>
      </c>
      <c r="D18" s="6" t="s">
        <v>79</v>
      </c>
      <c r="E18" s="7">
        <f>3.65+0.77</f>
        <v>4.42</v>
      </c>
      <c r="F18" s="8" t="s">
        <v>109</v>
      </c>
      <c r="G18" s="8" t="s">
        <v>122</v>
      </c>
      <c r="H18" s="8" t="s">
        <v>48</v>
      </c>
      <c r="I18" s="10"/>
      <c r="J18" s="9">
        <f>26.4707+2</f>
        <v>28.470700000000001</v>
      </c>
      <c r="K18" s="9">
        <f>18.3+2</f>
        <v>20.3</v>
      </c>
      <c r="L18" s="9">
        <v>8.4518000000000004</v>
      </c>
      <c r="M18" s="9">
        <v>5.0900999999999996</v>
      </c>
      <c r="N18" s="22">
        <v>0</v>
      </c>
      <c r="O18" s="23"/>
      <c r="P18" s="1" t="s">
        <v>52</v>
      </c>
      <c r="Q18" s="1" t="s">
        <v>123</v>
      </c>
      <c r="R18" s="1"/>
    </row>
    <row r="19" spans="1:18" ht="40.700000000000003" customHeight="1">
      <c r="A19" s="1" t="s">
        <v>36</v>
      </c>
      <c r="B19" s="6" t="s">
        <v>124</v>
      </c>
      <c r="C19" s="6" t="s">
        <v>125</v>
      </c>
      <c r="D19" s="6" t="s">
        <v>79</v>
      </c>
      <c r="E19" s="7">
        <v>0.34</v>
      </c>
      <c r="F19" s="8" t="s">
        <v>58</v>
      </c>
      <c r="G19" s="8" t="s">
        <v>126</v>
      </c>
      <c r="H19" s="8" t="s">
        <v>101</v>
      </c>
      <c r="I19" s="10"/>
      <c r="J19" s="9">
        <v>1.086049</v>
      </c>
      <c r="K19" s="9">
        <v>1.0815090000000001</v>
      </c>
      <c r="L19" s="9">
        <v>0.11454</v>
      </c>
      <c r="M19" s="9">
        <v>0.11</v>
      </c>
      <c r="N19" s="22">
        <v>0</v>
      </c>
      <c r="O19" s="23"/>
      <c r="P19" s="1" t="s">
        <v>52</v>
      </c>
      <c r="Q19" s="1" t="s">
        <v>127</v>
      </c>
      <c r="R19" s="1"/>
    </row>
    <row r="20" spans="1:18" ht="40.700000000000003" customHeight="1">
      <c r="A20" s="1" t="s">
        <v>36</v>
      </c>
      <c r="B20" s="6" t="s">
        <v>128</v>
      </c>
      <c r="C20" s="6" t="s">
        <v>129</v>
      </c>
      <c r="D20" s="6" t="s">
        <v>79</v>
      </c>
      <c r="E20" s="7">
        <f>2.28+1.24</f>
        <v>3.5199999999999996</v>
      </c>
      <c r="F20" s="8" t="s">
        <v>91</v>
      </c>
      <c r="G20" s="8" t="s">
        <v>118</v>
      </c>
      <c r="H20" s="8" t="s">
        <v>48</v>
      </c>
      <c r="I20" s="10"/>
      <c r="J20" s="9">
        <f>29.9885+2</f>
        <v>31.988499999999998</v>
      </c>
      <c r="K20" s="9">
        <f>18.99+2</f>
        <v>20.99</v>
      </c>
      <c r="L20" s="9">
        <v>9.8110999999999997</v>
      </c>
      <c r="M20" s="9">
        <v>5.04</v>
      </c>
      <c r="N20" s="22">
        <v>0</v>
      </c>
      <c r="O20" s="23"/>
      <c r="P20" s="1" t="s">
        <v>52</v>
      </c>
      <c r="Q20" s="1" t="s">
        <v>130</v>
      </c>
      <c r="R20" s="1"/>
    </row>
    <row r="21" spans="1:18" ht="40.700000000000003" customHeight="1">
      <c r="A21" s="17" t="s">
        <v>36</v>
      </c>
      <c r="B21" s="6" t="s">
        <v>171</v>
      </c>
      <c r="C21" s="6" t="s">
        <v>172</v>
      </c>
      <c r="D21" s="6" t="s">
        <v>173</v>
      </c>
      <c r="E21" s="7">
        <f>0.52+0.4</f>
        <v>0.92</v>
      </c>
      <c r="F21" s="8" t="s">
        <v>174</v>
      </c>
      <c r="G21" s="8" t="s">
        <v>175</v>
      </c>
      <c r="H21" s="8" t="s">
        <v>60</v>
      </c>
      <c r="I21" s="10"/>
      <c r="J21" s="9">
        <f>3.4112+1.94</f>
        <v>5.3512000000000004</v>
      </c>
      <c r="K21" s="9">
        <f>1.11998+0.9</f>
        <v>2.0199799999999999</v>
      </c>
      <c r="L21" s="9">
        <f>0.52+0.4</f>
        <v>0.92</v>
      </c>
      <c r="M21" s="9">
        <f>0.52+0.4</f>
        <v>0.92</v>
      </c>
      <c r="N21" s="22">
        <v>0.1</v>
      </c>
      <c r="O21" s="23"/>
      <c r="P21" s="17" t="s">
        <v>154</v>
      </c>
      <c r="Q21" s="17" t="s">
        <v>176</v>
      </c>
      <c r="R21" s="17"/>
    </row>
    <row r="22" spans="1:18" ht="40.700000000000003" customHeight="1">
      <c r="A22" s="17" t="s">
        <v>36</v>
      </c>
      <c r="B22" s="6" t="s">
        <v>177</v>
      </c>
      <c r="C22" s="6" t="s">
        <v>178</v>
      </c>
      <c r="D22" s="6" t="s">
        <v>173</v>
      </c>
      <c r="E22" s="7">
        <v>0.1</v>
      </c>
      <c r="F22" s="8" t="s">
        <v>179</v>
      </c>
      <c r="G22" s="8" t="s">
        <v>180</v>
      </c>
      <c r="H22" s="8" t="s">
        <v>60</v>
      </c>
      <c r="I22" s="10"/>
      <c r="J22" s="9">
        <v>1</v>
      </c>
      <c r="K22" s="9">
        <v>0.8</v>
      </c>
      <c r="L22" s="9">
        <v>0.30009999999999998</v>
      </c>
      <c r="M22" s="9">
        <v>3.0000000000000001E-5</v>
      </c>
      <c r="N22" s="22">
        <v>0</v>
      </c>
      <c r="O22" s="23"/>
      <c r="P22" s="17" t="s">
        <v>159</v>
      </c>
      <c r="Q22" s="17" t="s">
        <v>181</v>
      </c>
      <c r="R22" s="17"/>
    </row>
    <row r="23" spans="1:18" ht="40.700000000000003" customHeight="1">
      <c r="A23" s="17" t="s">
        <v>36</v>
      </c>
      <c r="B23" s="6" t="s">
        <v>182</v>
      </c>
      <c r="C23" s="6" t="s">
        <v>183</v>
      </c>
      <c r="D23" s="6" t="s">
        <v>90</v>
      </c>
      <c r="E23" s="7">
        <v>0.5</v>
      </c>
      <c r="F23" s="8" t="s">
        <v>184</v>
      </c>
      <c r="G23" s="8" t="s">
        <v>185</v>
      </c>
      <c r="H23" s="8" t="s">
        <v>186</v>
      </c>
      <c r="I23" s="10"/>
      <c r="J23" s="9">
        <v>2.5</v>
      </c>
      <c r="K23" s="9">
        <v>1.9</v>
      </c>
      <c r="L23" s="9">
        <v>0.19500000000000001</v>
      </c>
      <c r="M23" s="9">
        <v>1.9</v>
      </c>
      <c r="N23" s="22">
        <v>0</v>
      </c>
      <c r="O23" s="23"/>
      <c r="P23" s="17" t="s">
        <v>159</v>
      </c>
      <c r="Q23" s="17" t="s">
        <v>187</v>
      </c>
      <c r="R23" s="17"/>
    </row>
    <row r="24" spans="1:18" ht="40.700000000000003" customHeight="1">
      <c r="A24" s="17" t="s">
        <v>36</v>
      </c>
      <c r="B24" s="6" t="s">
        <v>188</v>
      </c>
      <c r="C24" s="6" t="s">
        <v>189</v>
      </c>
      <c r="D24" s="6" t="s">
        <v>173</v>
      </c>
      <c r="E24" s="7">
        <f>0.7+0.35+0.5</f>
        <v>1.5499999999999998</v>
      </c>
      <c r="F24" s="8" t="s">
        <v>174</v>
      </c>
      <c r="G24" s="8" t="s">
        <v>190</v>
      </c>
      <c r="H24" s="8" t="s">
        <v>186</v>
      </c>
      <c r="I24" s="10"/>
      <c r="J24" s="9">
        <f>2.5+1.11+1.4831</f>
        <v>5.0931000000000006</v>
      </c>
      <c r="K24" s="9">
        <f>1.9+0.35+0.5</f>
        <v>2.75</v>
      </c>
      <c r="L24" s="9">
        <f>0.7+0.35</f>
        <v>1.0499999999999998</v>
      </c>
      <c r="M24" s="9">
        <f>0.7+0.35</f>
        <v>1.0499999999999998</v>
      </c>
      <c r="N24" s="22">
        <v>0.2</v>
      </c>
      <c r="O24" s="23"/>
      <c r="P24" s="17" t="s">
        <v>154</v>
      </c>
      <c r="Q24" s="17" t="s">
        <v>191</v>
      </c>
      <c r="R24" s="17"/>
    </row>
    <row r="25" spans="1:18" ht="40.700000000000003" customHeight="1">
      <c r="A25" s="17" t="s">
        <v>36</v>
      </c>
      <c r="B25" s="6" t="s">
        <v>192</v>
      </c>
      <c r="C25" s="6" t="s">
        <v>193</v>
      </c>
      <c r="D25" s="6" t="s">
        <v>173</v>
      </c>
      <c r="E25" s="7">
        <f>1.45+0.5</f>
        <v>1.95</v>
      </c>
      <c r="F25" s="8" t="s">
        <v>194</v>
      </c>
      <c r="G25" s="8" t="s">
        <v>195</v>
      </c>
      <c r="H25" s="8" t="s">
        <v>60</v>
      </c>
      <c r="I25" s="10"/>
      <c r="J25" s="9">
        <f>9.457601+1.54</f>
        <v>10.997601</v>
      </c>
      <c r="K25" s="9">
        <f>4.4+1</f>
        <v>5.4</v>
      </c>
      <c r="L25" s="9">
        <f>1.3251190462+0.5</f>
        <v>1.8251190462</v>
      </c>
      <c r="M25" s="9">
        <f>0.350305+0.5</f>
        <v>0.85030499999999998</v>
      </c>
      <c r="N25" s="22">
        <v>0</v>
      </c>
      <c r="O25" s="23"/>
      <c r="P25" s="17" t="s">
        <v>159</v>
      </c>
      <c r="Q25" s="17" t="s">
        <v>196</v>
      </c>
      <c r="R25" s="17"/>
    </row>
    <row r="26" spans="1:18" ht="40.700000000000003" customHeight="1">
      <c r="A26" s="17" t="s">
        <v>36</v>
      </c>
      <c r="B26" s="6" t="s">
        <v>197</v>
      </c>
      <c r="C26" s="6" t="s">
        <v>198</v>
      </c>
      <c r="D26" s="6" t="s">
        <v>173</v>
      </c>
      <c r="E26" s="7">
        <v>0.75</v>
      </c>
      <c r="F26" s="8" t="s">
        <v>199</v>
      </c>
      <c r="G26" s="8" t="s">
        <v>200</v>
      </c>
      <c r="H26" s="8" t="s">
        <v>186</v>
      </c>
      <c r="I26" s="10"/>
      <c r="J26" s="9">
        <v>1.6536</v>
      </c>
      <c r="K26" s="9">
        <v>1.1000000000000001</v>
      </c>
      <c r="L26" s="9">
        <v>0.94669999999999999</v>
      </c>
      <c r="M26" s="9">
        <v>7.4999999999999993E-5</v>
      </c>
      <c r="N26" s="22">
        <v>0</v>
      </c>
      <c r="O26" s="23"/>
      <c r="P26" s="17" t="s">
        <v>159</v>
      </c>
      <c r="Q26" s="17" t="s">
        <v>201</v>
      </c>
      <c r="R26" s="17"/>
    </row>
    <row r="27" spans="1:18" ht="40.700000000000003" customHeight="1">
      <c r="A27" s="17" t="s">
        <v>36</v>
      </c>
      <c r="B27" s="6" t="s">
        <v>202</v>
      </c>
      <c r="C27" s="6" t="s">
        <v>203</v>
      </c>
      <c r="D27" s="6" t="s">
        <v>173</v>
      </c>
      <c r="E27" s="7">
        <f>0.48+0.3</f>
        <v>0.78</v>
      </c>
      <c r="F27" s="8" t="s">
        <v>194</v>
      </c>
      <c r="G27" s="8" t="s">
        <v>195</v>
      </c>
      <c r="H27" s="8" t="s">
        <v>60</v>
      </c>
      <c r="I27" s="10"/>
      <c r="J27" s="9">
        <f>20.87208+1.45</f>
        <v>22.32208</v>
      </c>
      <c r="K27" s="9">
        <f>15.61443+0.6</f>
        <v>16.21443</v>
      </c>
      <c r="L27" s="9">
        <f>0.620685351+0.3</f>
        <v>0.92068535099999993</v>
      </c>
      <c r="M27" s="9">
        <f>0.6203+0.3</f>
        <v>0.9202999999999999</v>
      </c>
      <c r="N27" s="22">
        <v>0</v>
      </c>
      <c r="O27" s="23"/>
      <c r="P27" s="17" t="s">
        <v>159</v>
      </c>
      <c r="Q27" s="17" t="s">
        <v>204</v>
      </c>
      <c r="R27" s="17"/>
    </row>
    <row r="28" spans="1:18" ht="40.700000000000003" customHeight="1">
      <c r="A28" s="17" t="s">
        <v>36</v>
      </c>
      <c r="B28" s="6" t="s">
        <v>205</v>
      </c>
      <c r="C28" s="6" t="s">
        <v>206</v>
      </c>
      <c r="D28" s="6" t="s">
        <v>173</v>
      </c>
      <c r="E28" s="7">
        <f>0.38+0.55</f>
        <v>0.93</v>
      </c>
      <c r="F28" s="8" t="s">
        <v>207</v>
      </c>
      <c r="G28" s="8" t="s">
        <v>208</v>
      </c>
      <c r="H28" s="8" t="s">
        <v>60</v>
      </c>
      <c r="I28" s="10"/>
      <c r="J28" s="9">
        <f>2.168+3</f>
        <v>5.1680000000000001</v>
      </c>
      <c r="K28" s="9">
        <f>0.8+1.65</f>
        <v>2.4500000000000002</v>
      </c>
      <c r="L28" s="9">
        <f>0.38+0.95</f>
        <v>1.33</v>
      </c>
      <c r="M28" s="9">
        <f>0.38+0.55</f>
        <v>0.93</v>
      </c>
      <c r="N28" s="22">
        <v>0</v>
      </c>
      <c r="O28" s="23"/>
      <c r="P28" s="17" t="s">
        <v>154</v>
      </c>
      <c r="Q28" s="17" t="s">
        <v>209</v>
      </c>
      <c r="R28" s="17"/>
    </row>
    <row r="29" spans="1:18" ht="40.700000000000003" customHeight="1">
      <c r="A29" s="17" t="s">
        <v>36</v>
      </c>
      <c r="B29" s="6" t="s">
        <v>210</v>
      </c>
      <c r="C29" s="6" t="s">
        <v>211</v>
      </c>
      <c r="D29" s="6" t="s">
        <v>173</v>
      </c>
      <c r="E29" s="7">
        <v>0.52</v>
      </c>
      <c r="F29" s="8" t="s">
        <v>212</v>
      </c>
      <c r="G29" s="8" t="s">
        <v>213</v>
      </c>
      <c r="H29" s="8" t="s">
        <v>60</v>
      </c>
      <c r="I29" s="10"/>
      <c r="J29" s="9">
        <v>10.167999999999999</v>
      </c>
      <c r="K29" s="9">
        <v>2.2999999999999998</v>
      </c>
      <c r="L29" s="9">
        <v>0.52</v>
      </c>
      <c r="M29" s="9">
        <v>0.52</v>
      </c>
      <c r="N29" s="22">
        <v>0</v>
      </c>
      <c r="O29" s="23"/>
      <c r="P29" s="17" t="s">
        <v>154</v>
      </c>
      <c r="Q29" s="17" t="s">
        <v>214</v>
      </c>
      <c r="R29" s="17"/>
    </row>
    <row r="30" spans="1:18" ht="40.700000000000003" customHeight="1">
      <c r="A30" s="17" t="s">
        <v>36</v>
      </c>
      <c r="B30" s="6" t="s">
        <v>215</v>
      </c>
      <c r="C30" s="6" t="s">
        <v>216</v>
      </c>
      <c r="D30" s="6" t="s">
        <v>173</v>
      </c>
      <c r="E30" s="7">
        <v>0.2</v>
      </c>
      <c r="F30" s="8" t="s">
        <v>212</v>
      </c>
      <c r="G30" s="8" t="s">
        <v>217</v>
      </c>
      <c r="H30" s="8" t="s">
        <v>186</v>
      </c>
      <c r="I30" s="10"/>
      <c r="J30" s="9">
        <v>2.5</v>
      </c>
      <c r="K30" s="9">
        <v>1.9</v>
      </c>
      <c r="L30" s="9">
        <v>0.2</v>
      </c>
      <c r="M30" s="9">
        <v>0.2</v>
      </c>
      <c r="N30" s="22">
        <v>0</v>
      </c>
      <c r="O30" s="23"/>
      <c r="P30" s="17" t="s">
        <v>154</v>
      </c>
      <c r="Q30" s="17" t="s">
        <v>218</v>
      </c>
      <c r="R30" s="17"/>
    </row>
    <row r="31" spans="1:18" ht="40.700000000000003" customHeight="1">
      <c r="A31" s="17" t="s">
        <v>36</v>
      </c>
      <c r="B31" s="6" t="s">
        <v>219</v>
      </c>
      <c r="C31" s="6" t="s">
        <v>220</v>
      </c>
      <c r="D31" s="6" t="s">
        <v>90</v>
      </c>
      <c r="E31" s="7">
        <v>2.1</v>
      </c>
      <c r="F31" s="8" t="s">
        <v>184</v>
      </c>
      <c r="G31" s="8" t="s">
        <v>59</v>
      </c>
      <c r="H31" s="8" t="s">
        <v>60</v>
      </c>
      <c r="I31" s="10"/>
      <c r="J31" s="9">
        <v>25.795857000000002</v>
      </c>
      <c r="K31" s="9">
        <v>15.30443</v>
      </c>
      <c r="L31" s="9">
        <v>3.3222090327</v>
      </c>
      <c r="M31" s="9">
        <v>0.52034999999999998</v>
      </c>
      <c r="N31" s="22">
        <v>0</v>
      </c>
      <c r="O31" s="23"/>
      <c r="P31" s="17" t="s">
        <v>159</v>
      </c>
      <c r="Q31" s="17" t="s">
        <v>221</v>
      </c>
      <c r="R31" s="17"/>
    </row>
    <row r="32" spans="1:18" ht="40.700000000000003" customHeight="1">
      <c r="A32" s="17" t="s">
        <v>36</v>
      </c>
      <c r="B32" s="6" t="s">
        <v>222</v>
      </c>
      <c r="C32" s="6" t="s">
        <v>223</v>
      </c>
      <c r="D32" s="6" t="s">
        <v>90</v>
      </c>
      <c r="E32" s="7">
        <v>1</v>
      </c>
      <c r="F32" s="8" t="s">
        <v>184</v>
      </c>
      <c r="G32" s="8" t="s">
        <v>59</v>
      </c>
      <c r="H32" s="8" t="s">
        <v>60</v>
      </c>
      <c r="I32" s="10"/>
      <c r="J32" s="9">
        <v>5.5328010000000001</v>
      </c>
      <c r="K32" s="9">
        <v>2.75</v>
      </c>
      <c r="L32" s="9">
        <v>2.7502789999999999</v>
      </c>
      <c r="M32" s="9">
        <v>2.7500000000000002E-4</v>
      </c>
      <c r="N32" s="22">
        <v>0</v>
      </c>
      <c r="O32" s="23"/>
      <c r="P32" s="17" t="s">
        <v>159</v>
      </c>
      <c r="Q32" s="17" t="s">
        <v>224</v>
      </c>
      <c r="R32" s="17"/>
    </row>
    <row r="33" spans="1:18" ht="40.700000000000003" customHeight="1">
      <c r="A33" s="17" t="s">
        <v>36</v>
      </c>
      <c r="B33" s="6" t="s">
        <v>225</v>
      </c>
      <c r="C33" s="6" t="s">
        <v>226</v>
      </c>
      <c r="D33" s="6" t="s">
        <v>90</v>
      </c>
      <c r="E33" s="7">
        <v>0.32</v>
      </c>
      <c r="F33" s="8" t="s">
        <v>227</v>
      </c>
      <c r="G33" s="8" t="s">
        <v>59</v>
      </c>
      <c r="H33" s="8" t="s">
        <v>60</v>
      </c>
      <c r="I33" s="10"/>
      <c r="J33" s="9">
        <v>18.667899999999999</v>
      </c>
      <c r="K33" s="9">
        <v>13.81443</v>
      </c>
      <c r="L33" s="9">
        <v>6.8534699999999997</v>
      </c>
      <c r="M33" s="9">
        <v>2.9999999999999997E-4</v>
      </c>
      <c r="N33" s="22">
        <v>0</v>
      </c>
      <c r="O33" s="23"/>
      <c r="P33" s="17" t="s">
        <v>159</v>
      </c>
      <c r="Q33" s="17" t="s">
        <v>228</v>
      </c>
      <c r="R33" s="17"/>
    </row>
    <row r="34" spans="1:18" ht="40.700000000000003" customHeight="1">
      <c r="A34" s="17" t="s">
        <v>36</v>
      </c>
      <c r="B34" s="6" t="s">
        <v>229</v>
      </c>
      <c r="C34" s="6" t="s">
        <v>230</v>
      </c>
      <c r="D34" s="6" t="s">
        <v>173</v>
      </c>
      <c r="E34" s="7">
        <v>1.2</v>
      </c>
      <c r="F34" s="8" t="s">
        <v>179</v>
      </c>
      <c r="G34" s="8" t="s">
        <v>69</v>
      </c>
      <c r="H34" s="8" t="s">
        <v>231</v>
      </c>
      <c r="I34" s="10"/>
      <c r="J34" s="9">
        <v>1.5</v>
      </c>
      <c r="K34" s="9">
        <v>1.2</v>
      </c>
      <c r="L34" s="9">
        <v>1.21</v>
      </c>
      <c r="M34" s="9">
        <v>1.2E-4</v>
      </c>
      <c r="N34" s="22">
        <v>0</v>
      </c>
      <c r="O34" s="23"/>
      <c r="P34" s="17" t="s">
        <v>159</v>
      </c>
      <c r="Q34" s="17" t="s">
        <v>232</v>
      </c>
      <c r="R34" s="17"/>
    </row>
    <row r="35" spans="1:18" ht="40.700000000000003" customHeight="1">
      <c r="A35" s="17" t="s">
        <v>36</v>
      </c>
      <c r="B35" s="6" t="s">
        <v>233</v>
      </c>
      <c r="C35" s="6" t="s">
        <v>234</v>
      </c>
      <c r="D35" s="6" t="s">
        <v>173</v>
      </c>
      <c r="E35" s="7">
        <v>1.45</v>
      </c>
      <c r="F35" s="8" t="s">
        <v>179</v>
      </c>
      <c r="G35" s="8" t="s">
        <v>180</v>
      </c>
      <c r="H35" s="8" t="s">
        <v>60</v>
      </c>
      <c r="I35" s="10"/>
      <c r="J35" s="9">
        <v>26.138656999999998</v>
      </c>
      <c r="K35" s="9">
        <v>15.18083</v>
      </c>
      <c r="L35" s="9">
        <v>3.4186090327</v>
      </c>
      <c r="M35" s="9">
        <v>0.15035000000000001</v>
      </c>
      <c r="N35" s="22">
        <v>0</v>
      </c>
      <c r="O35" s="23"/>
      <c r="P35" s="17" t="s">
        <v>159</v>
      </c>
      <c r="Q35" s="17" t="s">
        <v>235</v>
      </c>
      <c r="R35" s="17"/>
    </row>
    <row r="36" spans="1:18" ht="40.700000000000003" customHeight="1">
      <c r="A36" s="17" t="s">
        <v>36</v>
      </c>
      <c r="B36" s="6" t="s">
        <v>236</v>
      </c>
      <c r="C36" s="6" t="s">
        <v>237</v>
      </c>
      <c r="D36" s="6" t="s">
        <v>173</v>
      </c>
      <c r="E36" s="7">
        <v>0.95</v>
      </c>
      <c r="F36" s="8" t="s">
        <v>194</v>
      </c>
      <c r="G36" s="8" t="s">
        <v>238</v>
      </c>
      <c r="H36" s="8" t="s">
        <v>162</v>
      </c>
      <c r="I36" s="10"/>
      <c r="J36" s="9">
        <v>6.4109699999999998</v>
      </c>
      <c r="K36" s="9">
        <v>2.85</v>
      </c>
      <c r="L36" s="9">
        <v>1.1000560007</v>
      </c>
      <c r="M36" s="9">
        <v>1.1000559999999999</v>
      </c>
      <c r="N36" s="22">
        <v>0</v>
      </c>
      <c r="O36" s="23"/>
      <c r="P36" s="17" t="s">
        <v>159</v>
      </c>
      <c r="Q36" s="17" t="s">
        <v>239</v>
      </c>
      <c r="R36" s="17"/>
    </row>
    <row r="37" spans="1:18" ht="40.700000000000003" customHeight="1">
      <c r="A37" s="17" t="s">
        <v>36</v>
      </c>
      <c r="B37" s="6" t="s">
        <v>240</v>
      </c>
      <c r="C37" s="6" t="s">
        <v>241</v>
      </c>
      <c r="D37" s="6" t="s">
        <v>90</v>
      </c>
      <c r="E37" s="7">
        <v>1.4</v>
      </c>
      <c r="F37" s="8" t="s">
        <v>227</v>
      </c>
      <c r="G37" s="8" t="s">
        <v>185</v>
      </c>
      <c r="H37" s="8" t="s">
        <v>186</v>
      </c>
      <c r="I37" s="10"/>
      <c r="J37" s="9">
        <v>14.3931</v>
      </c>
      <c r="K37" s="9">
        <v>14.3931</v>
      </c>
      <c r="L37" s="9">
        <v>2.88</v>
      </c>
      <c r="M37" s="9">
        <v>2.8800000000000001E-4</v>
      </c>
      <c r="N37" s="22">
        <v>0</v>
      </c>
      <c r="O37" s="23"/>
      <c r="P37" s="17" t="s">
        <v>159</v>
      </c>
      <c r="Q37" s="17" t="s">
        <v>242</v>
      </c>
      <c r="R37" s="17"/>
    </row>
    <row r="38" spans="1:18" ht="40.700000000000003" customHeight="1">
      <c r="A38" s="17" t="s">
        <v>36</v>
      </c>
      <c r="B38" s="6" t="s">
        <v>243</v>
      </c>
      <c r="C38" s="6" t="s">
        <v>244</v>
      </c>
      <c r="D38" s="6" t="s">
        <v>90</v>
      </c>
      <c r="E38" s="7">
        <v>0.3</v>
      </c>
      <c r="F38" s="8" t="s">
        <v>184</v>
      </c>
      <c r="G38" s="8" t="s">
        <v>185</v>
      </c>
      <c r="H38" s="8" t="s">
        <v>186</v>
      </c>
      <c r="I38" s="10"/>
      <c r="J38" s="9">
        <v>1.1400399999999999</v>
      </c>
      <c r="K38" s="9">
        <v>1.0468</v>
      </c>
      <c r="L38" s="9">
        <v>9.3240000000000003E-2</v>
      </c>
      <c r="M38" s="9">
        <v>0</v>
      </c>
      <c r="N38" s="22">
        <v>0</v>
      </c>
      <c r="O38" s="23"/>
      <c r="P38" s="17" t="s">
        <v>159</v>
      </c>
      <c r="Q38" s="17" t="s">
        <v>245</v>
      </c>
      <c r="R38" s="17"/>
    </row>
    <row r="39" spans="1:18" ht="40.700000000000003" customHeight="1">
      <c r="A39" s="17" t="s">
        <v>36</v>
      </c>
      <c r="B39" s="6" t="s">
        <v>246</v>
      </c>
      <c r="C39" s="6" t="s">
        <v>247</v>
      </c>
      <c r="D39" s="6" t="s">
        <v>173</v>
      </c>
      <c r="E39" s="7">
        <v>5.1100000000000003</v>
      </c>
      <c r="F39" s="8" t="s">
        <v>194</v>
      </c>
      <c r="G39" s="8" t="s">
        <v>248</v>
      </c>
      <c r="H39" s="8" t="s">
        <v>186</v>
      </c>
      <c r="I39" s="10"/>
      <c r="J39" s="9">
        <v>51.893099999999997</v>
      </c>
      <c r="K39" s="9">
        <v>36.293100000000003</v>
      </c>
      <c r="L39" s="9">
        <v>11.040288009999999</v>
      </c>
      <c r="M39" s="9">
        <v>10.990288</v>
      </c>
      <c r="N39" s="22">
        <v>0</v>
      </c>
      <c r="O39" s="23"/>
      <c r="P39" s="17" t="s">
        <v>159</v>
      </c>
      <c r="Q39" s="17" t="s">
        <v>249</v>
      </c>
      <c r="R39" s="17"/>
    </row>
    <row r="40" spans="1:18" ht="40.700000000000003" customHeight="1">
      <c r="A40" s="17" t="s">
        <v>36</v>
      </c>
      <c r="B40" s="6" t="s">
        <v>250</v>
      </c>
      <c r="C40" s="6" t="s">
        <v>251</v>
      </c>
      <c r="D40" s="6" t="s">
        <v>173</v>
      </c>
      <c r="E40" s="7">
        <f>2.33+0.52</f>
        <v>2.85</v>
      </c>
      <c r="F40" s="8" t="s">
        <v>179</v>
      </c>
      <c r="G40" s="8" t="s">
        <v>161</v>
      </c>
      <c r="H40" s="8" t="s">
        <v>186</v>
      </c>
      <c r="I40" s="10"/>
      <c r="J40" s="9">
        <f>50.106155+0.7631</f>
        <v>50.869255000000003</v>
      </c>
      <c r="K40" s="9">
        <f>33.281687+0.52</f>
        <v>33.801687000000001</v>
      </c>
      <c r="L40" s="9">
        <f>12.00904202+0.52</f>
        <v>12.52904202</v>
      </c>
      <c r="M40" s="9">
        <f>12.009042+0.52</f>
        <v>12.529042</v>
      </c>
      <c r="N40" s="22">
        <v>0</v>
      </c>
      <c r="O40" s="23"/>
      <c r="P40" s="17" t="s">
        <v>159</v>
      </c>
      <c r="Q40" s="17" t="s">
        <v>252</v>
      </c>
      <c r="R40" s="17"/>
    </row>
    <row r="41" spans="1:18" ht="40.700000000000003" customHeight="1">
      <c r="A41" s="17" t="s">
        <v>36</v>
      </c>
      <c r="B41" s="6" t="s">
        <v>281</v>
      </c>
      <c r="C41" s="6" t="s">
        <v>282</v>
      </c>
      <c r="D41" s="6" t="s">
        <v>173</v>
      </c>
      <c r="E41" s="7">
        <f>2.35+0.18</f>
        <v>2.5300000000000002</v>
      </c>
      <c r="F41" s="8" t="s">
        <v>283</v>
      </c>
      <c r="G41" s="8" t="s">
        <v>284</v>
      </c>
      <c r="H41" s="8" t="s">
        <v>60</v>
      </c>
      <c r="I41" s="10"/>
      <c r="J41" s="9">
        <f>12.414049+2.65</f>
        <v>15.064049000000001</v>
      </c>
      <c r="K41" s="9">
        <f>6.37+1.2</f>
        <v>7.57</v>
      </c>
      <c r="L41" s="9">
        <f>2.53+0.72</f>
        <v>3.25</v>
      </c>
      <c r="M41" s="9">
        <f>2.53+0.18</f>
        <v>2.71</v>
      </c>
      <c r="N41" s="22">
        <v>0</v>
      </c>
      <c r="O41" s="23"/>
      <c r="P41" s="17" t="s">
        <v>278</v>
      </c>
      <c r="Q41" s="17" t="s">
        <v>285</v>
      </c>
      <c r="R41" s="17"/>
    </row>
    <row r="42" spans="1:18" ht="40.700000000000003" customHeight="1">
      <c r="A42" s="17" t="s">
        <v>36</v>
      </c>
      <c r="B42" s="6" t="s">
        <v>286</v>
      </c>
      <c r="C42" s="6" t="s">
        <v>287</v>
      </c>
      <c r="D42" s="6" t="s">
        <v>173</v>
      </c>
      <c r="E42" s="7">
        <v>0.45</v>
      </c>
      <c r="F42" s="8" t="s">
        <v>260</v>
      </c>
      <c r="G42" s="8" t="s">
        <v>261</v>
      </c>
      <c r="H42" s="8" t="s">
        <v>60</v>
      </c>
      <c r="I42" s="10"/>
      <c r="J42" s="27">
        <v>2.2436980000000002</v>
      </c>
      <c r="K42" s="27">
        <v>1.090776</v>
      </c>
      <c r="L42" s="27">
        <v>0.45</v>
      </c>
      <c r="M42" s="27">
        <v>0.45</v>
      </c>
      <c r="N42" s="55">
        <v>0</v>
      </c>
      <c r="O42" s="23"/>
      <c r="P42" s="17" t="s">
        <v>259</v>
      </c>
      <c r="Q42" s="17" t="s">
        <v>288</v>
      </c>
      <c r="R42" s="17"/>
    </row>
    <row r="43" spans="1:18" ht="40.700000000000003" customHeight="1">
      <c r="A43" s="17" t="s">
        <v>36</v>
      </c>
      <c r="B43" s="6" t="s">
        <v>289</v>
      </c>
      <c r="C43" s="6" t="s">
        <v>290</v>
      </c>
      <c r="D43" s="6" t="s">
        <v>173</v>
      </c>
      <c r="E43" s="7">
        <v>0.15</v>
      </c>
      <c r="F43" s="8" t="s">
        <v>291</v>
      </c>
      <c r="G43" s="8" t="s">
        <v>292</v>
      </c>
      <c r="H43" s="8" t="s">
        <v>60</v>
      </c>
      <c r="I43" s="10"/>
      <c r="J43" s="27">
        <v>1.5</v>
      </c>
      <c r="K43" s="27">
        <v>1</v>
      </c>
      <c r="L43" s="27">
        <v>0.15</v>
      </c>
      <c r="M43" s="27">
        <v>0.15</v>
      </c>
      <c r="N43" s="55">
        <v>0</v>
      </c>
      <c r="O43" s="23"/>
      <c r="P43" s="17" t="s">
        <v>259</v>
      </c>
      <c r="Q43" s="17" t="s">
        <v>293</v>
      </c>
      <c r="R43" s="17"/>
    </row>
    <row r="44" spans="1:18" ht="40.700000000000003" customHeight="1">
      <c r="A44" s="17" t="s">
        <v>36</v>
      </c>
      <c r="B44" s="6" t="s">
        <v>294</v>
      </c>
      <c r="C44" s="6" t="s">
        <v>295</v>
      </c>
      <c r="D44" s="6" t="s">
        <v>173</v>
      </c>
      <c r="E44" s="7">
        <f>0.3+1.4+1.6</f>
        <v>3.3</v>
      </c>
      <c r="F44" s="8" t="s">
        <v>296</v>
      </c>
      <c r="G44" s="8" t="s">
        <v>297</v>
      </c>
      <c r="H44" s="8" t="s">
        <v>162</v>
      </c>
      <c r="I44" s="10"/>
      <c r="J44" s="27">
        <f>1+3.9+26.5446</f>
        <v>31.444600000000001</v>
      </c>
      <c r="K44" s="27">
        <f>0.5+3.4+16.4</f>
        <v>20.299999999999997</v>
      </c>
      <c r="L44" s="27">
        <f>3.06984498+1.4+1.3698</f>
        <v>5.8396449799999992</v>
      </c>
      <c r="M44" s="27">
        <f>3.06984498+1.4+1.3698</f>
        <v>5.8396449799999992</v>
      </c>
      <c r="N44" s="55">
        <v>0</v>
      </c>
      <c r="O44" s="23"/>
      <c r="P44" s="17" t="s">
        <v>259</v>
      </c>
      <c r="Q44" s="17" t="s">
        <v>298</v>
      </c>
      <c r="R44" s="17"/>
    </row>
    <row r="45" spans="1:18" ht="40.700000000000003" customHeight="1">
      <c r="A45" s="17" t="s">
        <v>36</v>
      </c>
      <c r="B45" s="6" t="s">
        <v>299</v>
      </c>
      <c r="C45" s="6" t="s">
        <v>300</v>
      </c>
      <c r="D45" s="6" t="s">
        <v>173</v>
      </c>
      <c r="E45" s="7">
        <v>0.79</v>
      </c>
      <c r="F45" s="8" t="s">
        <v>296</v>
      </c>
      <c r="G45" s="8" t="s">
        <v>301</v>
      </c>
      <c r="H45" s="8" t="s">
        <v>60</v>
      </c>
      <c r="I45" s="10"/>
      <c r="J45" s="27">
        <v>3.5841099999999999</v>
      </c>
      <c r="K45" s="27">
        <v>2.1916099999999998</v>
      </c>
      <c r="L45" s="27">
        <v>0.74392579290000005</v>
      </c>
      <c r="M45" s="27">
        <v>0.74392579290000005</v>
      </c>
      <c r="N45" s="55">
        <v>0</v>
      </c>
      <c r="O45" s="23"/>
      <c r="P45" s="17" t="s">
        <v>259</v>
      </c>
      <c r="Q45" s="17" t="s">
        <v>302</v>
      </c>
      <c r="R45" s="17"/>
    </row>
    <row r="46" spans="1:18" ht="40.700000000000003" customHeight="1">
      <c r="A46" s="17" t="s">
        <v>36</v>
      </c>
      <c r="B46" s="6" t="s">
        <v>303</v>
      </c>
      <c r="C46" s="6" t="s">
        <v>304</v>
      </c>
      <c r="D46" s="6" t="s">
        <v>173</v>
      </c>
      <c r="E46" s="7">
        <v>0.5</v>
      </c>
      <c r="F46" s="8" t="s">
        <v>305</v>
      </c>
      <c r="G46" s="8" t="s">
        <v>122</v>
      </c>
      <c r="H46" s="8" t="s">
        <v>162</v>
      </c>
      <c r="I46" s="10"/>
      <c r="J46" s="9">
        <v>5.3938699999999997</v>
      </c>
      <c r="K46" s="9">
        <v>2.5</v>
      </c>
      <c r="L46" s="9">
        <v>0.5</v>
      </c>
      <c r="M46" s="9">
        <v>0.5</v>
      </c>
      <c r="N46" s="22">
        <v>0</v>
      </c>
      <c r="O46" s="23"/>
      <c r="P46" s="17" t="s">
        <v>278</v>
      </c>
      <c r="Q46" s="17" t="s">
        <v>306</v>
      </c>
      <c r="R46" s="17"/>
    </row>
    <row r="47" spans="1:18" ht="40.700000000000003" customHeight="1">
      <c r="A47" s="17" t="s">
        <v>36</v>
      </c>
      <c r="B47" s="6" t="s">
        <v>307</v>
      </c>
      <c r="C47" s="6" t="s">
        <v>308</v>
      </c>
      <c r="D47" s="6" t="s">
        <v>173</v>
      </c>
      <c r="E47" s="7">
        <v>0.15</v>
      </c>
      <c r="F47" s="8" t="s">
        <v>309</v>
      </c>
      <c r="G47" s="8" t="s">
        <v>310</v>
      </c>
      <c r="H47" s="8" t="s">
        <v>186</v>
      </c>
      <c r="I47" s="10"/>
      <c r="J47" s="27">
        <v>18.221022000000001</v>
      </c>
      <c r="K47" s="27">
        <v>13.433476000000001</v>
      </c>
      <c r="L47" s="27">
        <v>0.15</v>
      </c>
      <c r="M47" s="27">
        <v>0.15</v>
      </c>
      <c r="N47" s="55">
        <v>0</v>
      </c>
      <c r="O47" s="23"/>
      <c r="P47" s="17" t="s">
        <v>259</v>
      </c>
      <c r="Q47" s="17" t="s">
        <v>311</v>
      </c>
      <c r="R47" s="17"/>
    </row>
    <row r="48" spans="1:18" ht="40.700000000000003" customHeight="1">
      <c r="A48" s="17" t="s">
        <v>36</v>
      </c>
      <c r="B48" s="6" t="s">
        <v>312</v>
      </c>
      <c r="C48" s="6" t="s">
        <v>313</v>
      </c>
      <c r="D48" s="6" t="s">
        <v>173</v>
      </c>
      <c r="E48" s="7">
        <v>1.46</v>
      </c>
      <c r="F48" s="8" t="s">
        <v>314</v>
      </c>
      <c r="G48" s="8" t="s">
        <v>315</v>
      </c>
      <c r="H48" s="8" t="s">
        <v>186</v>
      </c>
      <c r="I48" s="10"/>
      <c r="J48" s="9">
        <v>35</v>
      </c>
      <c r="K48" s="9">
        <v>20</v>
      </c>
      <c r="L48" s="9">
        <v>1.46</v>
      </c>
      <c r="M48" s="9">
        <v>1.46</v>
      </c>
      <c r="N48" s="22">
        <v>0</v>
      </c>
      <c r="O48" s="23"/>
      <c r="P48" s="17" t="s">
        <v>278</v>
      </c>
      <c r="Q48" s="17" t="s">
        <v>316</v>
      </c>
      <c r="R48" s="17"/>
    </row>
    <row r="49" spans="1:18" ht="40.700000000000003" customHeight="1">
      <c r="A49" s="17" t="s">
        <v>36</v>
      </c>
      <c r="B49" s="6" t="s">
        <v>317</v>
      </c>
      <c r="C49" s="6" t="s">
        <v>318</v>
      </c>
      <c r="D49" s="6" t="s">
        <v>173</v>
      </c>
      <c r="E49" s="7">
        <f>0.98+0.72</f>
        <v>1.7</v>
      </c>
      <c r="F49" s="8" t="s">
        <v>314</v>
      </c>
      <c r="G49" s="8" t="s">
        <v>292</v>
      </c>
      <c r="H49" s="8" t="s">
        <v>60</v>
      </c>
      <c r="I49" s="10"/>
      <c r="J49" s="9">
        <f>5.00418+2.64</f>
        <v>7.6441800000000004</v>
      </c>
      <c r="K49" s="9">
        <f>4+1.82</f>
        <v>5.82</v>
      </c>
      <c r="L49" s="9">
        <f>1.7+1.22</f>
        <v>2.92</v>
      </c>
      <c r="M49" s="9">
        <f>1.7+0.72</f>
        <v>2.42</v>
      </c>
      <c r="N49" s="22">
        <v>0</v>
      </c>
      <c r="O49" s="23"/>
      <c r="P49" s="17" t="s">
        <v>278</v>
      </c>
      <c r="Q49" s="17" t="s">
        <v>319</v>
      </c>
      <c r="R49" s="17"/>
    </row>
    <row r="50" spans="1:18" ht="40.700000000000003" customHeight="1">
      <c r="A50" s="17" t="s">
        <v>36</v>
      </c>
      <c r="B50" s="6" t="s">
        <v>320</v>
      </c>
      <c r="C50" s="6" t="s">
        <v>321</v>
      </c>
      <c r="D50" s="6" t="s">
        <v>173</v>
      </c>
      <c r="E50" s="7">
        <v>0.2</v>
      </c>
      <c r="F50" s="8" t="s">
        <v>309</v>
      </c>
      <c r="G50" s="8" t="s">
        <v>213</v>
      </c>
      <c r="H50" s="8" t="s">
        <v>162</v>
      </c>
      <c r="I50" s="10"/>
      <c r="J50" s="27">
        <v>1.0546880000000001</v>
      </c>
      <c r="K50" s="27">
        <v>0.55468799999999996</v>
      </c>
      <c r="L50" s="27">
        <v>0.2</v>
      </c>
      <c r="M50" s="27">
        <v>0.2</v>
      </c>
      <c r="N50" s="55">
        <v>0</v>
      </c>
      <c r="O50" s="23"/>
      <c r="P50" s="17" t="s">
        <v>259</v>
      </c>
      <c r="Q50" s="17" t="s">
        <v>322</v>
      </c>
      <c r="R50" s="17"/>
    </row>
    <row r="51" spans="1:18" ht="40.700000000000003" customHeight="1">
      <c r="A51" s="17" t="s">
        <v>36</v>
      </c>
      <c r="B51" s="6" t="s">
        <v>323</v>
      </c>
      <c r="C51" s="6" t="s">
        <v>324</v>
      </c>
      <c r="D51" s="6" t="s">
        <v>173</v>
      </c>
      <c r="E51" s="7">
        <v>0.1</v>
      </c>
      <c r="F51" s="8" t="s">
        <v>309</v>
      </c>
      <c r="G51" s="8" t="s">
        <v>274</v>
      </c>
      <c r="H51" s="8" t="s">
        <v>60</v>
      </c>
      <c r="I51" s="10"/>
      <c r="J51" s="27">
        <v>0.26579999999999998</v>
      </c>
      <c r="K51" s="27">
        <v>0.1</v>
      </c>
      <c r="L51" s="27">
        <v>0.1</v>
      </c>
      <c r="M51" s="27">
        <v>0.1</v>
      </c>
      <c r="N51" s="55">
        <v>0</v>
      </c>
      <c r="O51" s="23"/>
      <c r="P51" s="17" t="s">
        <v>259</v>
      </c>
      <c r="Q51" s="17" t="s">
        <v>325</v>
      </c>
      <c r="R51" s="17"/>
    </row>
    <row r="52" spans="1:18" ht="40.700000000000003" customHeight="1">
      <c r="A52" s="17" t="s">
        <v>36</v>
      </c>
      <c r="B52" s="6" t="s">
        <v>326</v>
      </c>
      <c r="C52" s="6" t="s">
        <v>327</v>
      </c>
      <c r="D52" s="6" t="s">
        <v>173</v>
      </c>
      <c r="E52" s="7">
        <f>2.234+0.6</f>
        <v>2.8340000000000001</v>
      </c>
      <c r="F52" s="8" t="s">
        <v>296</v>
      </c>
      <c r="G52" s="8" t="s">
        <v>328</v>
      </c>
      <c r="H52" s="8" t="s">
        <v>186</v>
      </c>
      <c r="I52" s="10"/>
      <c r="J52" s="27">
        <f>26.093891+1.87</f>
        <v>27.963891</v>
      </c>
      <c r="K52" s="27">
        <f>17.641345+1.2</f>
        <v>18.841345</v>
      </c>
      <c r="L52" s="27">
        <f>2.534+0.6</f>
        <v>3.1339999999999999</v>
      </c>
      <c r="M52" s="27">
        <f>2.534+0.6</f>
        <v>3.1339999999999999</v>
      </c>
      <c r="N52" s="55">
        <v>0</v>
      </c>
      <c r="O52" s="23"/>
      <c r="P52" s="17" t="s">
        <v>259</v>
      </c>
      <c r="Q52" s="17" t="s">
        <v>329</v>
      </c>
      <c r="R52" s="17"/>
    </row>
    <row r="53" spans="1:18" ht="40.700000000000003" customHeight="1">
      <c r="A53" s="17" t="s">
        <v>36</v>
      </c>
      <c r="B53" s="6" t="s">
        <v>330</v>
      </c>
      <c r="C53" s="6" t="s">
        <v>331</v>
      </c>
      <c r="D53" s="6" t="s">
        <v>173</v>
      </c>
      <c r="E53" s="7">
        <f>0.65+0.44</f>
        <v>1.0900000000000001</v>
      </c>
      <c r="F53" s="8" t="s">
        <v>332</v>
      </c>
      <c r="G53" s="8">
        <v>2.73</v>
      </c>
      <c r="H53" s="8" t="s">
        <v>60</v>
      </c>
      <c r="I53" s="10"/>
      <c r="J53" s="27">
        <f>2.9614+6.09</f>
        <v>9.0513999999999992</v>
      </c>
      <c r="K53" s="27">
        <f>1.7916+3.2</f>
        <v>4.9916</v>
      </c>
      <c r="L53" s="27">
        <f>1.07591+0.44</f>
        <v>1.5159099999999999</v>
      </c>
      <c r="M53" s="27">
        <f>1.07591+0.44</f>
        <v>1.5159099999999999</v>
      </c>
      <c r="N53" s="55">
        <v>0</v>
      </c>
      <c r="O53" s="23"/>
      <c r="P53" s="17" t="s">
        <v>259</v>
      </c>
      <c r="Q53" s="17" t="s">
        <v>333</v>
      </c>
      <c r="R53" s="17"/>
    </row>
    <row r="54" spans="1:18" ht="40.700000000000003" customHeight="1">
      <c r="A54" s="17" t="s">
        <v>36</v>
      </c>
      <c r="B54" s="6" t="s">
        <v>334</v>
      </c>
      <c r="C54" s="6" t="s">
        <v>335</v>
      </c>
      <c r="D54" s="6" t="s">
        <v>173</v>
      </c>
      <c r="E54" s="7">
        <v>0.3</v>
      </c>
      <c r="F54" s="8" t="s">
        <v>260</v>
      </c>
      <c r="G54" s="8" t="s">
        <v>270</v>
      </c>
      <c r="H54" s="8" t="s">
        <v>186</v>
      </c>
      <c r="I54" s="10"/>
      <c r="J54" s="27">
        <v>14.393155</v>
      </c>
      <c r="K54" s="27">
        <v>11.5146</v>
      </c>
      <c r="L54" s="27">
        <v>0.3</v>
      </c>
      <c r="M54" s="27">
        <v>0.3</v>
      </c>
      <c r="N54" s="55">
        <v>0</v>
      </c>
      <c r="O54" s="23"/>
      <c r="P54" s="17" t="s">
        <v>259</v>
      </c>
      <c r="Q54" s="17" t="s">
        <v>336</v>
      </c>
      <c r="R54" s="17"/>
    </row>
    <row r="55" spans="1:18" ht="40.700000000000003" customHeight="1">
      <c r="A55" s="17" t="s">
        <v>36</v>
      </c>
      <c r="B55" s="6" t="s">
        <v>337</v>
      </c>
      <c r="C55" s="6" t="s">
        <v>338</v>
      </c>
      <c r="D55" s="6" t="s">
        <v>173</v>
      </c>
      <c r="E55" s="7">
        <v>0.08</v>
      </c>
      <c r="F55" s="8" t="s">
        <v>305</v>
      </c>
      <c r="G55" s="8" t="s">
        <v>339</v>
      </c>
      <c r="H55" s="8" t="s">
        <v>60</v>
      </c>
      <c r="I55" s="10"/>
      <c r="J55" s="9">
        <v>2.56908</v>
      </c>
      <c r="K55" s="9">
        <v>1.413</v>
      </c>
      <c r="L55" s="9">
        <v>0.08</v>
      </c>
      <c r="M55" s="9">
        <v>0.08</v>
      </c>
      <c r="N55" s="22">
        <v>0</v>
      </c>
      <c r="O55" s="23"/>
      <c r="P55" s="17" t="s">
        <v>278</v>
      </c>
      <c r="Q55" s="17" t="s">
        <v>340</v>
      </c>
      <c r="R55" s="17"/>
    </row>
    <row r="56" spans="1:18" ht="40.700000000000003" customHeight="1">
      <c r="A56" s="17" t="s">
        <v>36</v>
      </c>
      <c r="B56" s="6" t="s">
        <v>341</v>
      </c>
      <c r="C56" s="6" t="s">
        <v>342</v>
      </c>
      <c r="D56" s="6" t="s">
        <v>173</v>
      </c>
      <c r="E56" s="7">
        <f>1.566+0.1+0.15</f>
        <v>1.8160000000000001</v>
      </c>
      <c r="F56" s="8" t="s">
        <v>332</v>
      </c>
      <c r="G56" s="8" t="s">
        <v>195</v>
      </c>
      <c r="H56" s="8" t="s">
        <v>186</v>
      </c>
      <c r="I56" s="10"/>
      <c r="J56" s="27">
        <f>23.20261+1.87+1</f>
        <v>26.072610000000001</v>
      </c>
      <c r="K56" s="27">
        <f>16.089055+1.2+0.5</f>
        <v>17.789054999999998</v>
      </c>
      <c r="L56" s="27">
        <f>1.72349+0.1+0.15</f>
        <v>1.97349</v>
      </c>
      <c r="M56" s="27">
        <f>1.72349+0.1+0.15</f>
        <v>1.97349</v>
      </c>
      <c r="N56" s="55">
        <v>0</v>
      </c>
      <c r="O56" s="23"/>
      <c r="P56" s="17" t="s">
        <v>259</v>
      </c>
      <c r="Q56" s="17" t="s">
        <v>343</v>
      </c>
      <c r="R56" s="17"/>
    </row>
    <row r="57" spans="1:18" ht="40.700000000000003" customHeight="1">
      <c r="A57" s="17" t="s">
        <v>36</v>
      </c>
      <c r="B57" s="6" t="s">
        <v>344</v>
      </c>
      <c r="C57" s="6" t="s">
        <v>345</v>
      </c>
      <c r="D57" s="6" t="s">
        <v>173</v>
      </c>
      <c r="E57" s="7">
        <v>1.5</v>
      </c>
      <c r="F57" s="8" t="s">
        <v>346</v>
      </c>
      <c r="G57" s="8" t="s">
        <v>169</v>
      </c>
      <c r="H57" s="8" t="s">
        <v>186</v>
      </c>
      <c r="I57" s="10"/>
      <c r="J57" s="45">
        <v>14.393155</v>
      </c>
      <c r="K57" s="45">
        <v>11.5146</v>
      </c>
      <c r="L57" s="45">
        <v>1.5</v>
      </c>
      <c r="M57" s="45">
        <v>1.5</v>
      </c>
      <c r="N57" s="56">
        <v>0</v>
      </c>
      <c r="O57" s="23"/>
      <c r="P57" s="17" t="s">
        <v>278</v>
      </c>
      <c r="Q57" s="17" t="s">
        <v>347</v>
      </c>
      <c r="R57" s="17"/>
    </row>
    <row r="58" spans="1:18" ht="40.700000000000003" customHeight="1">
      <c r="A58" s="17" t="s">
        <v>36</v>
      </c>
      <c r="B58" s="6" t="s">
        <v>348</v>
      </c>
      <c r="C58" s="6" t="s">
        <v>349</v>
      </c>
      <c r="D58" s="6" t="s">
        <v>173</v>
      </c>
      <c r="E58" s="7">
        <f>0.39+0.2</f>
        <v>0.59000000000000008</v>
      </c>
      <c r="F58" s="8" t="s">
        <v>350</v>
      </c>
      <c r="G58" s="8" t="s">
        <v>351</v>
      </c>
      <c r="H58" s="8" t="s">
        <v>186</v>
      </c>
      <c r="I58" s="10"/>
      <c r="J58" s="46">
        <f>2.85+0.28</f>
        <v>3.13</v>
      </c>
      <c r="K58" s="46">
        <f>1+0.2</f>
        <v>1.2</v>
      </c>
      <c r="L58" s="46">
        <f>0.53528+0.1453</f>
        <v>0.68057999999999996</v>
      </c>
      <c r="M58" s="46">
        <f>0.53528+0.1453</f>
        <v>0.68057999999999996</v>
      </c>
      <c r="N58" s="50">
        <v>0</v>
      </c>
      <c r="O58" s="23"/>
      <c r="P58" s="17" t="s">
        <v>259</v>
      </c>
      <c r="Q58" s="17" t="s">
        <v>352</v>
      </c>
      <c r="R58" s="17"/>
    </row>
    <row r="59" spans="1:18" ht="40.700000000000003" customHeight="1">
      <c r="A59" s="17" t="s">
        <v>36</v>
      </c>
      <c r="B59" s="6" t="s">
        <v>353</v>
      </c>
      <c r="C59" s="6" t="s">
        <v>354</v>
      </c>
      <c r="D59" s="6" t="s">
        <v>173</v>
      </c>
      <c r="E59" s="7">
        <f>0.12+0.3</f>
        <v>0.42</v>
      </c>
      <c r="F59" s="8" t="s">
        <v>314</v>
      </c>
      <c r="G59" s="8" t="s">
        <v>292</v>
      </c>
      <c r="H59" s="8" t="s">
        <v>60</v>
      </c>
      <c r="I59" s="10"/>
      <c r="J59" s="45">
        <f>4.134049+2.65</f>
        <v>6.7840489999999996</v>
      </c>
      <c r="K59" s="45">
        <f>0.87+1.2</f>
        <v>2.0699999999999998</v>
      </c>
      <c r="L59" s="45">
        <f>0.42+0.72</f>
        <v>1.1399999999999999</v>
      </c>
      <c r="M59" s="45">
        <f>0.42+0.3</f>
        <v>0.72</v>
      </c>
      <c r="N59" s="56">
        <v>0</v>
      </c>
      <c r="O59" s="23"/>
      <c r="P59" s="17" t="s">
        <v>278</v>
      </c>
      <c r="Q59" s="17" t="s">
        <v>355</v>
      </c>
      <c r="R59" s="17"/>
    </row>
    <row r="60" spans="1:18" ht="40.700000000000003" customHeight="1">
      <c r="A60" s="17" t="s">
        <v>36</v>
      </c>
      <c r="B60" s="6" t="s">
        <v>356</v>
      </c>
      <c r="C60" s="6" t="s">
        <v>357</v>
      </c>
      <c r="D60" s="6" t="s">
        <v>173</v>
      </c>
      <c r="E60" s="7">
        <v>3.63</v>
      </c>
      <c r="F60" s="8" t="s">
        <v>283</v>
      </c>
      <c r="G60" s="8" t="s">
        <v>358</v>
      </c>
      <c r="H60" s="8" t="s">
        <v>186</v>
      </c>
      <c r="I60" s="10"/>
      <c r="J60" s="45">
        <v>35</v>
      </c>
      <c r="K60" s="45">
        <v>20</v>
      </c>
      <c r="L60" s="45">
        <v>3.63</v>
      </c>
      <c r="M60" s="45">
        <v>3.63</v>
      </c>
      <c r="N60" s="56">
        <v>0</v>
      </c>
      <c r="O60" s="23"/>
      <c r="P60" s="17" t="s">
        <v>278</v>
      </c>
      <c r="Q60" s="17" t="s">
        <v>359</v>
      </c>
      <c r="R60" s="17"/>
    </row>
    <row r="61" spans="1:18" ht="40.700000000000003" customHeight="1">
      <c r="A61" s="17" t="s">
        <v>36</v>
      </c>
      <c r="B61" s="6" t="s">
        <v>360</v>
      </c>
      <c r="C61" s="6" t="s">
        <v>361</v>
      </c>
      <c r="D61" s="6" t="s">
        <v>173</v>
      </c>
      <c r="E61" s="7">
        <v>0.3</v>
      </c>
      <c r="F61" s="8" t="s">
        <v>314</v>
      </c>
      <c r="G61" s="8" t="s">
        <v>292</v>
      </c>
      <c r="H61" s="8" t="s">
        <v>60</v>
      </c>
      <c r="I61" s="10"/>
      <c r="J61" s="45">
        <v>2.9353180000000001</v>
      </c>
      <c r="K61" s="45">
        <v>1.2885</v>
      </c>
      <c r="L61" s="45">
        <v>0.3</v>
      </c>
      <c r="M61" s="45">
        <v>0.3</v>
      </c>
      <c r="N61" s="56">
        <v>0</v>
      </c>
      <c r="O61" s="23"/>
      <c r="P61" s="17" t="s">
        <v>278</v>
      </c>
      <c r="Q61" s="17" t="s">
        <v>362</v>
      </c>
      <c r="R61" s="17"/>
    </row>
    <row r="62" spans="1:18" ht="40.700000000000003" customHeight="1">
      <c r="A62" s="17" t="s">
        <v>36</v>
      </c>
      <c r="B62" s="6" t="s">
        <v>363</v>
      </c>
      <c r="C62" s="6" t="s">
        <v>364</v>
      </c>
      <c r="D62" s="6" t="s">
        <v>173</v>
      </c>
      <c r="E62" s="7">
        <v>0.15</v>
      </c>
      <c r="F62" s="8" t="s">
        <v>365</v>
      </c>
      <c r="G62" s="8" t="s">
        <v>328</v>
      </c>
      <c r="H62" s="8" t="s">
        <v>60</v>
      </c>
      <c r="I62" s="10"/>
      <c r="J62" s="45">
        <v>0.88</v>
      </c>
      <c r="K62" s="45">
        <v>0.5</v>
      </c>
      <c r="L62" s="45">
        <v>0.15</v>
      </c>
      <c r="M62" s="45">
        <v>0.15</v>
      </c>
      <c r="N62" s="56">
        <v>0</v>
      </c>
      <c r="O62" s="23"/>
      <c r="P62" s="17" t="s">
        <v>278</v>
      </c>
      <c r="Q62" s="17" t="s">
        <v>366</v>
      </c>
      <c r="R62" s="17"/>
    </row>
    <row r="63" spans="1:18" ht="40.700000000000003" customHeight="1">
      <c r="A63" s="17"/>
      <c r="B63" s="18" t="s">
        <v>385</v>
      </c>
      <c r="C63" s="24" t="s">
        <v>386</v>
      </c>
      <c r="D63" s="24" t="s">
        <v>173</v>
      </c>
      <c r="E63" s="7">
        <f>1.281+0.9</f>
        <v>2.181</v>
      </c>
      <c r="F63" s="57" t="s">
        <v>350</v>
      </c>
      <c r="G63" s="8" t="s">
        <v>387</v>
      </c>
      <c r="H63" s="8" t="s">
        <v>162</v>
      </c>
      <c r="I63" s="26"/>
      <c r="J63" s="46">
        <f>7.26+2.4</f>
        <v>9.66</v>
      </c>
      <c r="K63" s="46">
        <f>5.6+1.2</f>
        <v>6.8</v>
      </c>
      <c r="L63" s="46">
        <f>1.281+0.7</f>
        <v>1.9809999999999999</v>
      </c>
      <c r="M63" s="46">
        <f>1.281+0.7</f>
        <v>1.9809999999999999</v>
      </c>
      <c r="N63" s="50">
        <v>0</v>
      </c>
      <c r="O63" s="23"/>
      <c r="P63" s="17"/>
      <c r="Q63" s="17"/>
      <c r="R63" s="17"/>
    </row>
    <row r="64" spans="1:18" ht="47.25" customHeight="1">
      <c r="B64" s="18" t="s">
        <v>388</v>
      </c>
      <c r="C64" s="24" t="s">
        <v>389</v>
      </c>
      <c r="D64" s="24" t="s">
        <v>173</v>
      </c>
      <c r="E64" s="7">
        <f>0.819+0.3</f>
        <v>1.119</v>
      </c>
      <c r="F64" s="58">
        <v>44943</v>
      </c>
      <c r="G64" s="8" t="s">
        <v>105</v>
      </c>
      <c r="H64" s="8" t="s">
        <v>162</v>
      </c>
      <c r="I64" s="26"/>
      <c r="J64" s="46">
        <f>8.32+2.4</f>
        <v>10.72</v>
      </c>
      <c r="K64" s="46">
        <f>6.48+1.2</f>
        <v>7.6800000000000006</v>
      </c>
      <c r="L64" s="46">
        <f>0.819+0.3</f>
        <v>1.119</v>
      </c>
      <c r="M64" s="46">
        <f>0.819+0.3</f>
        <v>1.119</v>
      </c>
      <c r="N64" s="50">
        <v>0</v>
      </c>
      <c r="O64" s="53"/>
    </row>
    <row r="65" spans="1:18" ht="27">
      <c r="B65" s="18" t="s">
        <v>390</v>
      </c>
      <c r="C65" s="24" t="s">
        <v>391</v>
      </c>
      <c r="D65" s="24" t="s">
        <v>173</v>
      </c>
      <c r="E65" s="7">
        <v>0.63</v>
      </c>
      <c r="F65" s="58">
        <v>44984</v>
      </c>
      <c r="G65" s="8" t="s">
        <v>392</v>
      </c>
      <c r="H65" s="8" t="s">
        <v>60</v>
      </c>
      <c r="I65" s="26"/>
      <c r="J65" s="46">
        <v>5.6467530000000004</v>
      </c>
      <c r="K65" s="46">
        <v>2.85</v>
      </c>
      <c r="L65" s="46">
        <v>0.63</v>
      </c>
      <c r="M65" s="46">
        <v>0.63</v>
      </c>
      <c r="N65" s="50">
        <v>0</v>
      </c>
      <c r="O65" s="53"/>
    </row>
    <row r="66" spans="1:18" ht="27">
      <c r="B66" s="18" t="s">
        <v>393</v>
      </c>
      <c r="C66" s="24" t="s">
        <v>394</v>
      </c>
      <c r="D66" s="24" t="s">
        <v>173</v>
      </c>
      <c r="E66" s="7">
        <f>0.9+2.34</f>
        <v>3.2399999999999998</v>
      </c>
      <c r="F66" s="58">
        <v>45127</v>
      </c>
      <c r="G66" s="8" t="s">
        <v>395</v>
      </c>
      <c r="H66" s="8" t="s">
        <v>162</v>
      </c>
      <c r="I66" s="26"/>
      <c r="J66" s="46">
        <f>5.76+26.5446</f>
        <v>32.304600000000001</v>
      </c>
      <c r="K66" s="46">
        <f>4.4+16.4</f>
        <v>20.799999999999997</v>
      </c>
      <c r="L66" s="46">
        <f>0.9+2.35</f>
        <v>3.25</v>
      </c>
      <c r="M66" s="46">
        <f>0.9+2.35</f>
        <v>3.25</v>
      </c>
      <c r="N66" s="50">
        <v>0</v>
      </c>
      <c r="O66" s="53"/>
    </row>
    <row r="67" spans="1:18" s="32" customFormat="1" ht="27">
      <c r="B67" s="20" t="s">
        <v>398</v>
      </c>
      <c r="C67" s="34">
        <v>157693</v>
      </c>
      <c r="D67" s="40" t="s">
        <v>399</v>
      </c>
      <c r="E67" s="59">
        <v>1</v>
      </c>
      <c r="F67" s="60">
        <v>43591</v>
      </c>
      <c r="G67" s="61">
        <v>3.46</v>
      </c>
      <c r="H67" s="8" t="s">
        <v>48</v>
      </c>
      <c r="I67" s="41"/>
      <c r="J67" s="47">
        <v>5.4</v>
      </c>
      <c r="K67" s="48">
        <v>1</v>
      </c>
      <c r="L67" s="48">
        <v>3.47</v>
      </c>
      <c r="M67" s="48">
        <v>1</v>
      </c>
      <c r="N67" s="69">
        <v>0.74</v>
      </c>
      <c r="O67" s="33"/>
    </row>
    <row r="68" spans="1:18" s="32" customFormat="1" ht="27">
      <c r="B68" s="20" t="s">
        <v>400</v>
      </c>
      <c r="C68" s="34">
        <v>157915</v>
      </c>
      <c r="D68" s="40" t="s">
        <v>399</v>
      </c>
      <c r="E68" s="59">
        <v>1</v>
      </c>
      <c r="F68" s="60">
        <v>43672</v>
      </c>
      <c r="G68" s="61">
        <v>3.25</v>
      </c>
      <c r="H68" s="8" t="s">
        <v>48</v>
      </c>
      <c r="I68" s="41"/>
      <c r="J68" s="48">
        <v>5.24</v>
      </c>
      <c r="K68" s="48">
        <v>1</v>
      </c>
      <c r="L68" s="48">
        <v>2.86</v>
      </c>
      <c r="M68" s="48">
        <v>1</v>
      </c>
      <c r="N68" s="70"/>
      <c r="O68" s="33"/>
    </row>
    <row r="69" spans="1:18" s="32" customFormat="1" ht="27">
      <c r="B69" s="20" t="s">
        <v>401</v>
      </c>
      <c r="C69" s="34" t="s">
        <v>402</v>
      </c>
      <c r="D69" s="34" t="s">
        <v>399</v>
      </c>
      <c r="E69" s="59">
        <v>1.25</v>
      </c>
      <c r="F69" s="62">
        <v>44357</v>
      </c>
      <c r="G69" s="61" t="s">
        <v>208</v>
      </c>
      <c r="H69" s="8" t="s">
        <v>48</v>
      </c>
      <c r="I69" s="42"/>
      <c r="J69" s="48">
        <v>10.565287</v>
      </c>
      <c r="K69" s="48">
        <v>4.5350000000000001</v>
      </c>
      <c r="L69" s="48">
        <v>2.5350000000000001</v>
      </c>
      <c r="M69" s="48">
        <v>1.25</v>
      </c>
      <c r="N69" s="70"/>
      <c r="O69" s="33"/>
    </row>
    <row r="70" spans="1:18" s="32" customFormat="1" ht="27">
      <c r="B70" s="20" t="s">
        <v>403</v>
      </c>
      <c r="C70" s="34" t="s">
        <v>404</v>
      </c>
      <c r="D70" s="34" t="s">
        <v>399</v>
      </c>
      <c r="E70" s="59">
        <v>0.89</v>
      </c>
      <c r="F70" s="62">
        <v>44509</v>
      </c>
      <c r="G70" s="61" t="s">
        <v>392</v>
      </c>
      <c r="H70" s="8" t="s">
        <v>48</v>
      </c>
      <c r="I70" s="42"/>
      <c r="J70" s="48">
        <v>10.565287</v>
      </c>
      <c r="K70" s="48">
        <v>4.5350000000000001</v>
      </c>
      <c r="L70" s="48">
        <v>2.5350000000000001</v>
      </c>
      <c r="M70" s="48">
        <v>0.89</v>
      </c>
      <c r="N70" s="70"/>
      <c r="O70" s="33"/>
    </row>
    <row r="71" spans="1:18" s="32" customFormat="1" ht="27">
      <c r="B71" s="20" t="s">
        <v>405</v>
      </c>
      <c r="C71" s="34" t="s">
        <v>406</v>
      </c>
      <c r="D71" s="34" t="s">
        <v>399</v>
      </c>
      <c r="E71" s="59">
        <v>0.13500000000000001</v>
      </c>
      <c r="F71" s="62">
        <v>44728</v>
      </c>
      <c r="G71" s="61" t="s">
        <v>301</v>
      </c>
      <c r="H71" s="8" t="s">
        <v>48</v>
      </c>
      <c r="I71" s="42"/>
      <c r="J71" s="48">
        <v>10.565287</v>
      </c>
      <c r="K71" s="48">
        <v>4.5350000000000001</v>
      </c>
      <c r="L71" s="48">
        <v>2.5350000000000001</v>
      </c>
      <c r="M71" s="48">
        <v>0.13500000000000001</v>
      </c>
      <c r="N71" s="70"/>
      <c r="O71" s="33"/>
    </row>
    <row r="72" spans="1:18" s="32" customFormat="1" ht="27">
      <c r="B72" s="20" t="s">
        <v>407</v>
      </c>
      <c r="C72" s="34" t="s">
        <v>408</v>
      </c>
      <c r="D72" s="34" t="s">
        <v>399</v>
      </c>
      <c r="E72" s="59">
        <v>0.26</v>
      </c>
      <c r="F72" s="62">
        <v>44588</v>
      </c>
      <c r="G72" s="61" t="s">
        <v>409</v>
      </c>
      <c r="H72" s="8" t="s">
        <v>48</v>
      </c>
      <c r="I72" s="42"/>
      <c r="J72" s="48">
        <v>10.565287</v>
      </c>
      <c r="K72" s="48">
        <v>4.5350000000000001</v>
      </c>
      <c r="L72" s="48">
        <v>2.5350000000000001</v>
      </c>
      <c r="M72" s="48">
        <v>0.26</v>
      </c>
      <c r="N72" s="71"/>
      <c r="O72" s="33"/>
    </row>
    <row r="73" spans="1:18" s="32" customFormat="1" ht="27">
      <c r="B73" s="20" t="s">
        <v>411</v>
      </c>
      <c r="C73" s="34" t="s">
        <v>412</v>
      </c>
      <c r="D73" s="34" t="s">
        <v>410</v>
      </c>
      <c r="E73" s="59">
        <f>0.475+0.24</f>
        <v>0.71499999999999997</v>
      </c>
      <c r="F73" s="62">
        <v>44725</v>
      </c>
      <c r="G73" s="61" t="s">
        <v>413</v>
      </c>
      <c r="H73" s="8" t="s">
        <v>162</v>
      </c>
      <c r="I73" s="42"/>
      <c r="J73" s="48">
        <f>2.5+9.3596</f>
        <v>11.8596</v>
      </c>
      <c r="K73" s="48">
        <f>1.1+6</f>
        <v>7.1</v>
      </c>
      <c r="L73" s="48">
        <f>0.595+0.24</f>
        <v>0.83499999999999996</v>
      </c>
      <c r="M73" s="48">
        <f>0.475+0.24</f>
        <v>0.71499999999999997</v>
      </c>
      <c r="N73" s="51">
        <v>0</v>
      </c>
      <c r="O73" s="33"/>
    </row>
    <row r="74" spans="1:18" s="32" customFormat="1" ht="27">
      <c r="B74" s="20" t="s">
        <v>414</v>
      </c>
      <c r="C74" s="34" t="s">
        <v>415</v>
      </c>
      <c r="D74" s="34" t="s">
        <v>410</v>
      </c>
      <c r="E74" s="59">
        <v>0.6</v>
      </c>
      <c r="F74" s="62">
        <v>44728</v>
      </c>
      <c r="G74" s="61" t="s">
        <v>416</v>
      </c>
      <c r="H74" s="8" t="s">
        <v>186</v>
      </c>
      <c r="I74" s="42"/>
      <c r="J74" s="48">
        <v>0.75</v>
      </c>
      <c r="K74" s="48">
        <v>0.6</v>
      </c>
      <c r="L74" s="48">
        <v>0.6</v>
      </c>
      <c r="M74" s="48">
        <v>0.6</v>
      </c>
      <c r="N74" s="51">
        <v>0</v>
      </c>
      <c r="O74" s="33"/>
    </row>
    <row r="75" spans="1:18" s="32" customFormat="1" ht="27">
      <c r="B75" s="20" t="s">
        <v>417</v>
      </c>
      <c r="C75" s="34" t="s">
        <v>418</v>
      </c>
      <c r="D75" s="34" t="s">
        <v>410</v>
      </c>
      <c r="E75" s="59">
        <f>0.12+0.5</f>
        <v>0.62</v>
      </c>
      <c r="F75" s="62">
        <v>44851</v>
      </c>
      <c r="G75" s="61" t="s">
        <v>419</v>
      </c>
      <c r="H75" s="8" t="s">
        <v>162</v>
      </c>
      <c r="I75" s="42"/>
      <c r="J75" s="48">
        <f>2.5+43.188</f>
        <v>45.688000000000002</v>
      </c>
      <c r="K75" s="48">
        <f>1.1+3.4</f>
        <v>4.5</v>
      </c>
      <c r="L75" s="48">
        <f>0.595+0.5</f>
        <v>1.095</v>
      </c>
      <c r="M75" s="48">
        <f>0.12+0.5</f>
        <v>0.62</v>
      </c>
      <c r="N75" s="51">
        <v>0</v>
      </c>
      <c r="O75" s="33"/>
    </row>
    <row r="76" spans="1:18" s="21" customFormat="1" ht="33.75">
      <c r="B76" s="37" t="s">
        <v>423</v>
      </c>
      <c r="C76" s="37" t="s">
        <v>424</v>
      </c>
      <c r="D76" s="37" t="s">
        <v>173</v>
      </c>
      <c r="E76" s="38">
        <v>1.18</v>
      </c>
      <c r="F76" s="39" t="s">
        <v>207</v>
      </c>
      <c r="G76" s="39" t="s">
        <v>425</v>
      </c>
      <c r="H76" s="8" t="s">
        <v>162</v>
      </c>
      <c r="I76" s="44"/>
      <c r="J76" s="49">
        <v>10.630800000000001</v>
      </c>
      <c r="K76" s="49">
        <v>7</v>
      </c>
      <c r="L76" s="49">
        <v>0</v>
      </c>
      <c r="M76" s="49">
        <v>0</v>
      </c>
      <c r="N76" s="52">
        <v>0</v>
      </c>
      <c r="O76" s="54"/>
      <c r="P76" s="19" t="s">
        <v>154</v>
      </c>
      <c r="Q76" s="19" t="s">
        <v>426</v>
      </c>
      <c r="R76" s="19"/>
    </row>
    <row r="77" spans="1:18" s="21" customFormat="1" ht="33.75">
      <c r="B77" s="37" t="s">
        <v>427</v>
      </c>
      <c r="C77" s="37" t="s">
        <v>428</v>
      </c>
      <c r="D77" s="37" t="s">
        <v>173</v>
      </c>
      <c r="E77" s="38">
        <v>1.5</v>
      </c>
      <c r="F77" s="39" t="s">
        <v>174</v>
      </c>
      <c r="G77" s="39" t="s">
        <v>429</v>
      </c>
      <c r="H77" s="8" t="s">
        <v>162</v>
      </c>
      <c r="I77" s="44"/>
      <c r="J77" s="49">
        <v>9.3596000000000004</v>
      </c>
      <c r="K77" s="49">
        <v>6</v>
      </c>
      <c r="L77" s="49">
        <v>0</v>
      </c>
      <c r="M77" s="49">
        <v>0</v>
      </c>
      <c r="N77" s="52">
        <v>0</v>
      </c>
      <c r="O77" s="54"/>
      <c r="P77" s="19" t="s">
        <v>154</v>
      </c>
      <c r="Q77" s="19" t="s">
        <v>430</v>
      </c>
      <c r="R77" s="19"/>
    </row>
    <row r="78" spans="1:18" s="21" customFormat="1" ht="33.75">
      <c r="A78" s="19" t="s">
        <v>36</v>
      </c>
      <c r="B78" s="37" t="s">
        <v>431</v>
      </c>
      <c r="C78" s="37" t="s">
        <v>432</v>
      </c>
      <c r="D78" s="37" t="s">
        <v>173</v>
      </c>
      <c r="E78" s="38">
        <v>0.17</v>
      </c>
      <c r="F78" s="39" t="s">
        <v>291</v>
      </c>
      <c r="G78" s="39" t="s">
        <v>358</v>
      </c>
      <c r="H78" s="8" t="s">
        <v>186</v>
      </c>
      <c r="I78" s="44"/>
      <c r="J78" s="49">
        <v>1</v>
      </c>
      <c r="K78" s="49">
        <v>0.5</v>
      </c>
      <c r="L78" s="49">
        <v>0.17</v>
      </c>
      <c r="M78" s="49">
        <v>0.17</v>
      </c>
      <c r="N78" s="52">
        <v>0</v>
      </c>
      <c r="O78" s="54"/>
      <c r="P78" s="19" t="s">
        <v>259</v>
      </c>
      <c r="Q78" s="19" t="s">
        <v>433</v>
      </c>
      <c r="R78" s="19"/>
    </row>
    <row r="79" spans="1:18" s="21" customFormat="1" ht="33.75">
      <c r="A79" s="19" t="s">
        <v>36</v>
      </c>
      <c r="B79" s="37" t="s">
        <v>434</v>
      </c>
      <c r="C79" s="37" t="s">
        <v>435</v>
      </c>
      <c r="D79" s="37" t="s">
        <v>173</v>
      </c>
      <c r="E79" s="38">
        <v>0.4</v>
      </c>
      <c r="F79" s="39" t="s">
        <v>314</v>
      </c>
      <c r="G79" s="39" t="s">
        <v>413</v>
      </c>
      <c r="H79" s="8" t="s">
        <v>162</v>
      </c>
      <c r="I79" s="44"/>
      <c r="J79" s="49">
        <v>4.3188000000000004</v>
      </c>
      <c r="K79" s="49">
        <v>3.4</v>
      </c>
      <c r="L79" s="49">
        <v>0.4</v>
      </c>
      <c r="M79" s="49">
        <v>0.4</v>
      </c>
      <c r="N79" s="52">
        <v>0</v>
      </c>
      <c r="O79" s="54"/>
      <c r="P79" s="19" t="s">
        <v>278</v>
      </c>
      <c r="Q79" s="19" t="s">
        <v>436</v>
      </c>
      <c r="R79" s="19"/>
    </row>
    <row r="80" spans="1:18" s="21" customFormat="1" ht="33.75">
      <c r="A80" s="19" t="s">
        <v>36</v>
      </c>
      <c r="B80" s="37" t="s">
        <v>437</v>
      </c>
      <c r="C80" s="37" t="s">
        <v>438</v>
      </c>
      <c r="D80" s="37" t="s">
        <v>173</v>
      </c>
      <c r="E80" s="38">
        <v>0.5</v>
      </c>
      <c r="F80" s="39" t="s">
        <v>291</v>
      </c>
      <c r="G80" s="39" t="s">
        <v>270</v>
      </c>
      <c r="H80" s="8" t="s">
        <v>162</v>
      </c>
      <c r="I80" s="44"/>
      <c r="J80" s="49">
        <v>9.3596000000000004</v>
      </c>
      <c r="K80" s="49">
        <v>6</v>
      </c>
      <c r="L80" s="49">
        <v>0.5</v>
      </c>
      <c r="M80" s="49">
        <v>0.5</v>
      </c>
      <c r="N80" s="52">
        <v>0</v>
      </c>
      <c r="O80" s="54"/>
      <c r="P80" s="19" t="s">
        <v>259</v>
      </c>
      <c r="Q80" s="19" t="s">
        <v>439</v>
      </c>
      <c r="R80" s="19"/>
    </row>
    <row r="81" spans="1:18" s="21" customFormat="1" ht="33.75">
      <c r="A81" s="19" t="s">
        <v>36</v>
      </c>
      <c r="B81" s="37" t="s">
        <v>440</v>
      </c>
      <c r="C81" s="37" t="s">
        <v>441</v>
      </c>
      <c r="D81" s="37" t="s">
        <v>173</v>
      </c>
      <c r="E81" s="38">
        <v>0.9</v>
      </c>
      <c r="F81" s="39" t="s">
        <v>346</v>
      </c>
      <c r="G81" s="39" t="s">
        <v>118</v>
      </c>
      <c r="H81" s="8" t="s">
        <v>162</v>
      </c>
      <c r="I81" s="44"/>
      <c r="J81" s="49">
        <v>14.9496</v>
      </c>
      <c r="K81" s="49">
        <v>10.4</v>
      </c>
      <c r="L81" s="49">
        <v>0.9</v>
      </c>
      <c r="M81" s="49">
        <v>0.9</v>
      </c>
      <c r="N81" s="52">
        <v>0</v>
      </c>
      <c r="O81" s="54"/>
      <c r="P81" s="19" t="s">
        <v>278</v>
      </c>
      <c r="Q81" s="19" t="s">
        <v>442</v>
      </c>
      <c r="R81" s="19"/>
    </row>
  </sheetData>
  <autoFilter ref="A8:R81"/>
  <mergeCells count="8">
    <mergeCell ref="N67:N72"/>
    <mergeCell ref="B5:O5"/>
    <mergeCell ref="C7:H7"/>
    <mergeCell ref="I7:I8"/>
    <mergeCell ref="J7:K7"/>
    <mergeCell ref="L7:M7"/>
    <mergeCell ref="N7:N8"/>
    <mergeCell ref="O7:O8"/>
  </mergeCells>
  <phoneticPr fontId="5" type="noConversion"/>
  <pageMargins left="0.75" right="0.75" top="0.26899999380111694" bottom="0.26899999380111694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B1" workbookViewId="0">
      <pane ySplit="8" topLeftCell="A9" activePane="bottomLeft" state="frozen"/>
      <selection pane="bottomLeft" activeCell="I27" sqref="I27"/>
    </sheetView>
  </sheetViews>
  <sheetFormatPr defaultColWidth="10" defaultRowHeight="13.5"/>
  <cols>
    <col min="1" max="1" width="9" hidden="1"/>
    <col min="2" max="2" width="13.625" customWidth="1"/>
    <col min="3" max="3" width="38.625" customWidth="1"/>
    <col min="4" max="4" width="23.25" customWidth="1"/>
    <col min="5" max="5" width="29.5" customWidth="1"/>
    <col min="6" max="6" width="22.875" customWidth="1"/>
    <col min="7" max="8" width="9" hidden="1"/>
    <col min="9" max="9" width="9.75" customWidth="1"/>
  </cols>
  <sheetData>
    <row r="1" spans="1:8" ht="22.5" hidden="1">
      <c r="A1" s="1">
        <v>0</v>
      </c>
      <c r="B1" s="1" t="s">
        <v>131</v>
      </c>
      <c r="C1" s="1" t="s">
        <v>132</v>
      </c>
    </row>
    <row r="2" spans="1:8" hidden="1">
      <c r="A2" s="1">
        <v>0</v>
      </c>
      <c r="B2" s="1" t="s">
        <v>3</v>
      </c>
      <c r="C2" s="1" t="s">
        <v>4</v>
      </c>
      <c r="D2" s="1" t="s">
        <v>5</v>
      </c>
      <c r="E2" s="1" t="s">
        <v>133</v>
      </c>
      <c r="F2" s="1" t="s">
        <v>134</v>
      </c>
      <c r="G2" s="1" t="s">
        <v>7</v>
      </c>
    </row>
    <row r="3" spans="1:8" hidden="1">
      <c r="A3" s="1">
        <v>0</v>
      </c>
      <c r="C3" s="1" t="s">
        <v>8</v>
      </c>
      <c r="D3" s="1" t="s">
        <v>135</v>
      </c>
      <c r="E3" s="1" t="s">
        <v>136</v>
      </c>
      <c r="F3" s="1" t="s">
        <v>137</v>
      </c>
      <c r="G3" s="1" t="s">
        <v>138</v>
      </c>
      <c r="H3" s="1" t="s">
        <v>138</v>
      </c>
    </row>
    <row r="4" spans="1:8" ht="14.25" customHeight="1">
      <c r="A4" s="1">
        <v>0</v>
      </c>
      <c r="B4" s="1" t="s">
        <v>139</v>
      </c>
    </row>
    <row r="5" spans="1:8" ht="27.95" customHeight="1">
      <c r="A5" s="1">
        <v>0</v>
      </c>
      <c r="B5" s="63" t="s">
        <v>378</v>
      </c>
      <c r="C5" s="63"/>
      <c r="D5" s="63"/>
      <c r="E5" s="63"/>
      <c r="F5" s="63"/>
    </row>
    <row r="6" spans="1:8" ht="14.25" customHeight="1">
      <c r="A6" s="1">
        <v>0</v>
      </c>
      <c r="F6" s="11" t="s">
        <v>23</v>
      </c>
    </row>
    <row r="7" spans="1:8" ht="19.899999999999999" customHeight="1">
      <c r="A7" s="1">
        <v>0</v>
      </c>
      <c r="B7" s="75" t="s">
        <v>140</v>
      </c>
      <c r="C7" s="76" t="s">
        <v>382</v>
      </c>
      <c r="D7" s="76"/>
      <c r="E7" s="77" t="s">
        <v>383</v>
      </c>
      <c r="F7" s="77"/>
    </row>
    <row r="8" spans="1:8" ht="19.899999999999999" customHeight="1">
      <c r="A8" s="1">
        <v>0</v>
      </c>
      <c r="B8" s="75"/>
      <c r="C8" s="5" t="s">
        <v>28</v>
      </c>
      <c r="D8" s="5" t="s">
        <v>141</v>
      </c>
      <c r="E8" s="5" t="s">
        <v>142</v>
      </c>
      <c r="F8" s="30" t="s">
        <v>141</v>
      </c>
    </row>
    <row r="9" spans="1:8" ht="17.25" customHeight="1">
      <c r="A9" s="1">
        <v>0</v>
      </c>
      <c r="B9" s="13" t="s">
        <v>143</v>
      </c>
      <c r="C9" s="14"/>
      <c r="D9" s="7">
        <f>SUM(D10:D24)</f>
        <v>13.475200000000001</v>
      </c>
      <c r="E9" s="28"/>
      <c r="F9" s="31">
        <f>SUM(F10:F19)</f>
        <v>13.482600000000001</v>
      </c>
    </row>
    <row r="10" spans="1:8" ht="17.25" customHeight="1">
      <c r="A10" s="1" t="s">
        <v>36</v>
      </c>
      <c r="B10" s="15">
        <v>1</v>
      </c>
      <c r="C10" s="37" t="s">
        <v>420</v>
      </c>
      <c r="D10" s="38">
        <f>0.617+0.17+0.287</f>
        <v>1.0740000000000001</v>
      </c>
      <c r="E10" s="29" t="s">
        <v>144</v>
      </c>
      <c r="F10" s="31">
        <v>1.28</v>
      </c>
      <c r="G10" s="1" t="s">
        <v>145</v>
      </c>
      <c r="H10" s="1" t="s">
        <v>145</v>
      </c>
    </row>
    <row r="11" spans="1:8" ht="17.25" customHeight="1">
      <c r="A11" s="1" t="s">
        <v>36</v>
      </c>
      <c r="B11" s="15">
        <v>2</v>
      </c>
      <c r="C11" s="6" t="s">
        <v>44</v>
      </c>
      <c r="D11" s="7">
        <f>0.1587+0.42</f>
        <v>0.57869999999999999</v>
      </c>
      <c r="E11" s="29" t="s">
        <v>146</v>
      </c>
      <c r="F11" s="31">
        <f>1.43+0.29</f>
        <v>1.72</v>
      </c>
      <c r="G11" s="1" t="s">
        <v>147</v>
      </c>
      <c r="H11" s="1" t="s">
        <v>147</v>
      </c>
    </row>
    <row r="12" spans="1:8" ht="17.25" customHeight="1">
      <c r="A12" s="1" t="s">
        <v>36</v>
      </c>
      <c r="B12" s="15">
        <v>3</v>
      </c>
      <c r="C12" s="37" t="s">
        <v>50</v>
      </c>
      <c r="D12" s="38">
        <f>0.0467+0.19</f>
        <v>0.23669999999999999</v>
      </c>
      <c r="E12" s="29" t="s">
        <v>148</v>
      </c>
      <c r="F12" s="31">
        <v>4.58</v>
      </c>
      <c r="G12" s="1" t="s">
        <v>149</v>
      </c>
      <c r="H12" s="1" t="s">
        <v>149</v>
      </c>
    </row>
    <row r="13" spans="1:8" ht="17.25" customHeight="1">
      <c r="A13" s="1" t="s">
        <v>36</v>
      </c>
      <c r="B13" s="15">
        <v>4</v>
      </c>
      <c r="C13" s="37" t="s">
        <v>56</v>
      </c>
      <c r="D13" s="38">
        <f>0.0233+0.06+0.56</f>
        <v>0.64330000000000009</v>
      </c>
      <c r="E13" s="29" t="s">
        <v>253</v>
      </c>
      <c r="F13" s="31">
        <v>0.6</v>
      </c>
      <c r="G13" s="1"/>
      <c r="H13" s="1"/>
    </row>
    <row r="14" spans="1:8" ht="17.25" customHeight="1">
      <c r="A14" s="1" t="s">
        <v>36</v>
      </c>
      <c r="B14" s="15">
        <v>5</v>
      </c>
      <c r="C14" s="37" t="s">
        <v>62</v>
      </c>
      <c r="D14" s="38">
        <f>0.24+0.16+0.28</f>
        <v>0.68</v>
      </c>
      <c r="E14" s="29" t="s">
        <v>254</v>
      </c>
      <c r="F14" s="31">
        <v>0.96</v>
      </c>
      <c r="G14" s="1"/>
      <c r="H14" s="1"/>
    </row>
    <row r="15" spans="1:8" ht="17.25" customHeight="1">
      <c r="A15" s="1" t="s">
        <v>36</v>
      </c>
      <c r="B15" s="15">
        <v>6</v>
      </c>
      <c r="C15" s="37" t="s">
        <v>66</v>
      </c>
      <c r="D15" s="38">
        <f>0.2152+0.47+0.37</f>
        <v>1.0552000000000001</v>
      </c>
      <c r="E15" s="29" t="s">
        <v>255</v>
      </c>
      <c r="F15" s="31">
        <v>0.14499999999999999</v>
      </c>
      <c r="G15" s="1"/>
      <c r="H15" s="1"/>
    </row>
    <row r="16" spans="1:8" ht="17.25" customHeight="1">
      <c r="A16" s="17" t="s">
        <v>36</v>
      </c>
      <c r="B16" s="15">
        <v>7</v>
      </c>
      <c r="C16" s="37" t="s">
        <v>152</v>
      </c>
      <c r="D16" s="38">
        <f>1.07+0.13+0.49</f>
        <v>1.6900000000000002</v>
      </c>
      <c r="E16" s="29" t="s">
        <v>256</v>
      </c>
      <c r="F16" s="31">
        <v>0.56000000000000005</v>
      </c>
      <c r="G16" s="17" t="s">
        <v>145</v>
      </c>
      <c r="H16" s="17" t="s">
        <v>145</v>
      </c>
    </row>
    <row r="17" spans="1:8" ht="17.25" customHeight="1">
      <c r="A17" s="17" t="s">
        <v>36</v>
      </c>
      <c r="B17" s="15">
        <v>8</v>
      </c>
      <c r="C17" s="37" t="s">
        <v>157</v>
      </c>
      <c r="D17" s="38">
        <f>0.8614+0.13+0.09</f>
        <v>1.0814000000000001</v>
      </c>
      <c r="E17" s="29" t="s">
        <v>368</v>
      </c>
      <c r="F17" s="31">
        <f>0.9876+1.51</f>
        <v>2.4976000000000003</v>
      </c>
      <c r="G17" s="17" t="s">
        <v>370</v>
      </c>
      <c r="H17" s="17" t="s">
        <v>370</v>
      </c>
    </row>
    <row r="18" spans="1:8" ht="17.25" customHeight="1">
      <c r="A18" s="17" t="s">
        <v>36</v>
      </c>
      <c r="B18" s="15">
        <v>9</v>
      </c>
      <c r="C18" s="37" t="s">
        <v>164</v>
      </c>
      <c r="D18" s="38">
        <f>0.93+0.11+0.43</f>
        <v>1.47</v>
      </c>
      <c r="E18" s="29" t="s">
        <v>396</v>
      </c>
      <c r="F18" s="31">
        <v>0.06</v>
      </c>
      <c r="G18" s="17" t="s">
        <v>147</v>
      </c>
      <c r="H18" s="17" t="s">
        <v>147</v>
      </c>
    </row>
    <row r="19" spans="1:8" ht="17.25" customHeight="1">
      <c r="A19" s="17" t="s">
        <v>36</v>
      </c>
      <c r="B19" s="15">
        <v>10</v>
      </c>
      <c r="C19" s="37" t="s">
        <v>167</v>
      </c>
      <c r="D19" s="38">
        <f>0.5865+0.12+0.16</f>
        <v>0.86650000000000005</v>
      </c>
      <c r="E19" s="29" t="s">
        <v>397</v>
      </c>
      <c r="F19" s="31">
        <f>0.16+0.92</f>
        <v>1.08</v>
      </c>
      <c r="G19" s="17" t="s">
        <v>149</v>
      </c>
      <c r="H19" s="17" t="s">
        <v>149</v>
      </c>
    </row>
    <row r="20" spans="1:8" ht="17.25" customHeight="1">
      <c r="A20" s="17" t="s">
        <v>36</v>
      </c>
      <c r="B20" s="15">
        <v>11</v>
      </c>
      <c r="C20" s="37" t="s">
        <v>257</v>
      </c>
      <c r="D20" s="38">
        <f>0.0982+0.2036+0.15</f>
        <v>0.45179999999999998</v>
      </c>
      <c r="E20" s="29" t="s">
        <v>443</v>
      </c>
      <c r="F20" s="31">
        <v>0.15</v>
      </c>
      <c r="G20" s="17" t="s">
        <v>371</v>
      </c>
      <c r="H20" s="17" t="s">
        <v>371</v>
      </c>
    </row>
    <row r="21" spans="1:8" ht="17.25" customHeight="1">
      <c r="A21" s="17" t="s">
        <v>36</v>
      </c>
      <c r="B21" s="15">
        <v>12</v>
      </c>
      <c r="C21" s="37" t="s">
        <v>263</v>
      </c>
      <c r="D21" s="38">
        <f>0.5236+0.07+0.12</f>
        <v>0.7135999999999999</v>
      </c>
      <c r="E21" s="29" t="s">
        <v>375</v>
      </c>
      <c r="F21" s="31">
        <v>0.01</v>
      </c>
      <c r="G21" s="17" t="s">
        <v>372</v>
      </c>
      <c r="H21" s="17" t="s">
        <v>372</v>
      </c>
    </row>
    <row r="22" spans="1:8" ht="17.25" customHeight="1">
      <c r="A22" s="17" t="s">
        <v>36</v>
      </c>
      <c r="B22" s="15">
        <v>13</v>
      </c>
      <c r="C22" s="37" t="s">
        <v>268</v>
      </c>
      <c r="D22" s="38">
        <f>0.2746+0.04+0.06</f>
        <v>0.37459999999999999</v>
      </c>
      <c r="G22" s="17" t="s">
        <v>367</v>
      </c>
      <c r="H22" s="17" t="s">
        <v>367</v>
      </c>
    </row>
    <row r="23" spans="1:8" ht="17.25" customHeight="1">
      <c r="A23" s="17" t="s">
        <v>36</v>
      </c>
      <c r="B23" s="15">
        <v>14</v>
      </c>
      <c r="C23" s="6" t="s">
        <v>272</v>
      </c>
      <c r="D23" s="7">
        <f>0.7736+0.02</f>
        <v>0.79359999999999997</v>
      </c>
      <c r="G23" s="17" t="s">
        <v>145</v>
      </c>
      <c r="H23" s="17" t="s">
        <v>145</v>
      </c>
    </row>
    <row r="24" spans="1:8" ht="17.25" customHeight="1">
      <c r="A24" s="17" t="s">
        <v>36</v>
      </c>
      <c r="B24" s="15">
        <v>15</v>
      </c>
      <c r="C24" s="37" t="s">
        <v>276</v>
      </c>
      <c r="D24" s="38">
        <f>0.2758+1.15+0.34</f>
        <v>1.7658</v>
      </c>
      <c r="G24" s="17" t="s">
        <v>147</v>
      </c>
      <c r="H24" s="17" t="s">
        <v>147</v>
      </c>
    </row>
    <row r="25" spans="1:8">
      <c r="B25" s="15">
        <v>16</v>
      </c>
      <c r="C25" s="37" t="s">
        <v>384</v>
      </c>
      <c r="D25" s="38">
        <v>1.6999999999999999E-3</v>
      </c>
    </row>
  </sheetData>
  <mergeCells count="4">
    <mergeCell ref="B5:F5"/>
    <mergeCell ref="B7:B8"/>
    <mergeCell ref="C7:D7"/>
    <mergeCell ref="E7:F7"/>
  </mergeCells>
  <phoneticPr fontId="5" type="noConversion"/>
  <pageMargins left="0.75" right="0.75" top="0.26899999380111694" bottom="0.26899999380111694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B4" workbookViewId="0">
      <selection activeCell="N19" sqref="N19"/>
    </sheetView>
  </sheetViews>
  <sheetFormatPr defaultColWidth="10" defaultRowHeight="13.5"/>
  <cols>
    <col min="1" max="1" width="9" hidden="1"/>
    <col min="2" max="2" width="17.5" customWidth="1"/>
    <col min="3" max="3" width="38.625" customWidth="1"/>
    <col min="4" max="4" width="30.625" customWidth="1"/>
    <col min="5" max="5" width="27.5" customWidth="1"/>
    <col min="6" max="6" width="21.625" customWidth="1"/>
    <col min="7" max="7" width="9" hidden="1"/>
    <col min="8" max="8" width="9.75" customWidth="1"/>
  </cols>
  <sheetData>
    <row r="1" spans="1:7" ht="22.5" hidden="1">
      <c r="A1" s="1">
        <v>0</v>
      </c>
      <c r="B1" s="1" t="s">
        <v>131</v>
      </c>
      <c r="C1" s="1" t="s">
        <v>150</v>
      </c>
    </row>
    <row r="2" spans="1:7" hidden="1">
      <c r="A2" s="1">
        <v>0</v>
      </c>
      <c r="B2" s="1" t="s">
        <v>3</v>
      </c>
      <c r="C2" s="1" t="s">
        <v>4</v>
      </c>
      <c r="D2" s="1" t="s">
        <v>5</v>
      </c>
      <c r="E2" s="1" t="s">
        <v>133</v>
      </c>
      <c r="F2" s="1" t="s">
        <v>134</v>
      </c>
      <c r="G2" s="1" t="s">
        <v>72</v>
      </c>
    </row>
    <row r="3" spans="1:7" hidden="1">
      <c r="A3" s="1">
        <v>0</v>
      </c>
      <c r="C3" s="1" t="s">
        <v>8</v>
      </c>
      <c r="D3" s="1" t="s">
        <v>135</v>
      </c>
      <c r="E3" s="1" t="s">
        <v>136</v>
      </c>
      <c r="F3" s="1" t="s">
        <v>137</v>
      </c>
      <c r="G3" s="1" t="s">
        <v>138</v>
      </c>
    </row>
    <row r="4" spans="1:7" ht="14.25" customHeight="1">
      <c r="A4" s="1">
        <v>0</v>
      </c>
      <c r="B4" s="1" t="s">
        <v>139</v>
      </c>
    </row>
    <row r="5" spans="1:7" ht="27.95" customHeight="1">
      <c r="A5" s="1">
        <v>0</v>
      </c>
      <c r="B5" s="63" t="s">
        <v>379</v>
      </c>
      <c r="C5" s="63"/>
      <c r="D5" s="63"/>
      <c r="E5" s="63"/>
      <c r="F5" s="63"/>
    </row>
    <row r="6" spans="1:7" ht="21.75" customHeight="1">
      <c r="A6" s="1">
        <v>0</v>
      </c>
      <c r="F6" s="11" t="s">
        <v>23</v>
      </c>
    </row>
    <row r="7" spans="1:7" ht="19.899999999999999" customHeight="1">
      <c r="A7" s="1">
        <v>0</v>
      </c>
      <c r="B7" s="75" t="s">
        <v>140</v>
      </c>
      <c r="C7" s="76" t="s">
        <v>380</v>
      </c>
      <c r="D7" s="76"/>
      <c r="E7" s="77" t="s">
        <v>381</v>
      </c>
      <c r="F7" s="77"/>
    </row>
    <row r="8" spans="1:7" ht="19.899999999999999" customHeight="1">
      <c r="A8" s="1">
        <v>0</v>
      </c>
      <c r="B8" s="75"/>
      <c r="C8" s="5" t="s">
        <v>28</v>
      </c>
      <c r="D8" s="5" t="s">
        <v>141</v>
      </c>
      <c r="E8" s="5" t="s">
        <v>142</v>
      </c>
      <c r="F8" s="12" t="s">
        <v>141</v>
      </c>
    </row>
    <row r="9" spans="1:7" ht="17.25" customHeight="1">
      <c r="A9" s="1">
        <v>0</v>
      </c>
      <c r="B9" s="13" t="s">
        <v>143</v>
      </c>
      <c r="C9" s="14"/>
      <c r="D9" s="7">
        <f>SUM(D10:D82)</f>
        <v>91.790000000000049</v>
      </c>
      <c r="E9" s="14"/>
      <c r="F9" s="43">
        <f>SUM(F10:F14)</f>
        <v>91.31</v>
      </c>
      <c r="G9" s="1"/>
    </row>
    <row r="10" spans="1:7" ht="40.700000000000003" customHeight="1">
      <c r="A10" s="1" t="s">
        <v>36</v>
      </c>
      <c r="B10" s="16">
        <v>1</v>
      </c>
      <c r="C10" s="6" t="s">
        <v>77</v>
      </c>
      <c r="D10" s="7">
        <v>1.9</v>
      </c>
      <c r="E10" s="29" t="s">
        <v>146</v>
      </c>
      <c r="F10" s="31">
        <v>50.62</v>
      </c>
      <c r="G10" s="1" t="s">
        <v>147</v>
      </c>
    </row>
    <row r="11" spans="1:7" ht="27.2" customHeight="1">
      <c r="A11" s="1" t="s">
        <v>36</v>
      </c>
      <c r="B11" s="16">
        <v>2</v>
      </c>
      <c r="C11" s="6" t="s">
        <v>83</v>
      </c>
      <c r="D11" s="7">
        <f>2.75+2</f>
        <v>4.75</v>
      </c>
      <c r="E11" s="29" t="s">
        <v>148</v>
      </c>
      <c r="F11" s="31">
        <v>0.59</v>
      </c>
      <c r="G11" s="1"/>
    </row>
    <row r="12" spans="1:7" ht="27.2" customHeight="1">
      <c r="A12" s="1" t="s">
        <v>36</v>
      </c>
      <c r="B12" s="16">
        <v>3</v>
      </c>
      <c r="C12" s="6" t="s">
        <v>88</v>
      </c>
      <c r="D12" s="7">
        <v>0.35</v>
      </c>
      <c r="E12" s="29" t="s">
        <v>373</v>
      </c>
      <c r="F12" s="31">
        <f>30.4+3.18</f>
        <v>33.58</v>
      </c>
      <c r="G12" s="1"/>
    </row>
    <row r="13" spans="1:7" ht="27.2" customHeight="1">
      <c r="A13" s="1" t="s">
        <v>36</v>
      </c>
      <c r="B13" s="16">
        <v>4</v>
      </c>
      <c r="C13" s="6" t="s">
        <v>93</v>
      </c>
      <c r="D13" s="7">
        <f>2.25+0.21</f>
        <v>2.46</v>
      </c>
      <c r="E13" s="29" t="s">
        <v>375</v>
      </c>
      <c r="F13" s="31">
        <v>0.4</v>
      </c>
      <c r="G13" s="1"/>
    </row>
    <row r="14" spans="1:7" ht="27.2" customHeight="1">
      <c r="A14" s="1" t="s">
        <v>36</v>
      </c>
      <c r="B14" s="16">
        <v>5</v>
      </c>
      <c r="C14" s="6" t="s">
        <v>98</v>
      </c>
      <c r="D14" s="7">
        <v>2.25</v>
      </c>
      <c r="E14" s="29" t="s">
        <v>368</v>
      </c>
      <c r="F14" s="31">
        <v>6.12</v>
      </c>
      <c r="G14" s="1"/>
    </row>
    <row r="15" spans="1:7" ht="40.700000000000003" customHeight="1">
      <c r="A15" s="1" t="s">
        <v>36</v>
      </c>
      <c r="B15" s="16">
        <v>6</v>
      </c>
      <c r="C15" s="6" t="s">
        <v>103</v>
      </c>
      <c r="D15" s="7">
        <v>1.7</v>
      </c>
      <c r="G15" s="1"/>
    </row>
    <row r="16" spans="1:7" ht="27.2" customHeight="1">
      <c r="A16" s="1" t="s">
        <v>36</v>
      </c>
      <c r="B16" s="16">
        <v>7</v>
      </c>
      <c r="C16" s="6" t="s">
        <v>107</v>
      </c>
      <c r="D16" s="7">
        <v>1</v>
      </c>
      <c r="G16" s="1"/>
    </row>
    <row r="17" spans="1:7" ht="27.2" customHeight="1">
      <c r="A17" s="1" t="s">
        <v>36</v>
      </c>
      <c r="B17" s="16">
        <v>8</v>
      </c>
      <c r="C17" s="6" t="s">
        <v>112</v>
      </c>
      <c r="D17" s="7">
        <v>0.7</v>
      </c>
      <c r="G17" s="1"/>
    </row>
    <row r="18" spans="1:7" ht="40.700000000000003" customHeight="1">
      <c r="A18" s="1" t="s">
        <v>36</v>
      </c>
      <c r="B18" s="16">
        <v>9</v>
      </c>
      <c r="C18" s="6" t="s">
        <v>116</v>
      </c>
      <c r="D18" s="7">
        <f>0.77+0.42</f>
        <v>1.19</v>
      </c>
      <c r="G18" s="1"/>
    </row>
    <row r="19" spans="1:7" ht="27.2" customHeight="1">
      <c r="A19" s="1" t="s">
        <v>36</v>
      </c>
      <c r="B19" s="16">
        <v>10</v>
      </c>
      <c r="C19" s="6" t="s">
        <v>120</v>
      </c>
      <c r="D19" s="7">
        <f>3.65+0.77</f>
        <v>4.42</v>
      </c>
      <c r="G19" s="1"/>
    </row>
    <row r="20" spans="1:7" ht="40.700000000000003" customHeight="1">
      <c r="A20" s="1" t="s">
        <v>36</v>
      </c>
      <c r="B20" s="16">
        <v>11</v>
      </c>
      <c r="C20" s="6" t="s">
        <v>124</v>
      </c>
      <c r="D20" s="7">
        <v>0.34</v>
      </c>
      <c r="G20" s="1"/>
    </row>
    <row r="21" spans="1:7" ht="27.2" customHeight="1">
      <c r="A21" s="1" t="s">
        <v>36</v>
      </c>
      <c r="B21" s="16">
        <v>12</v>
      </c>
      <c r="C21" s="6" t="s">
        <v>128</v>
      </c>
      <c r="D21" s="7">
        <f>2.28+1.24</f>
        <v>3.5199999999999996</v>
      </c>
      <c r="G21" s="1"/>
    </row>
    <row r="22" spans="1:7" ht="40.700000000000003" customHeight="1">
      <c r="A22" s="17" t="s">
        <v>36</v>
      </c>
      <c r="B22" s="16">
        <v>13</v>
      </c>
      <c r="C22" s="6" t="s">
        <v>171</v>
      </c>
      <c r="D22" s="7">
        <f>0.52+0.4</f>
        <v>0.92</v>
      </c>
      <c r="G22" s="17" t="s">
        <v>147</v>
      </c>
    </row>
    <row r="23" spans="1:7" ht="40.700000000000003" customHeight="1">
      <c r="A23" s="17" t="s">
        <v>36</v>
      </c>
      <c r="B23" s="16">
        <v>14</v>
      </c>
      <c r="C23" s="6" t="s">
        <v>177</v>
      </c>
      <c r="D23" s="7">
        <v>0.1</v>
      </c>
      <c r="G23" s="17" t="s">
        <v>149</v>
      </c>
    </row>
    <row r="24" spans="1:7" ht="40.700000000000003" customHeight="1">
      <c r="A24" s="17" t="s">
        <v>36</v>
      </c>
      <c r="B24" s="16">
        <v>15</v>
      </c>
      <c r="C24" s="6" t="s">
        <v>182</v>
      </c>
      <c r="D24" s="7">
        <v>0.5</v>
      </c>
      <c r="G24" s="17" t="s">
        <v>374</v>
      </c>
    </row>
    <row r="25" spans="1:7" ht="40.700000000000003" customHeight="1">
      <c r="A25" s="17" t="s">
        <v>36</v>
      </c>
      <c r="B25" s="16">
        <v>16</v>
      </c>
      <c r="C25" s="6" t="s">
        <v>188</v>
      </c>
      <c r="D25" s="7">
        <f>0.7+0.35+0.5</f>
        <v>1.5499999999999998</v>
      </c>
      <c r="G25" s="17"/>
    </row>
    <row r="26" spans="1:7" ht="40.700000000000003" customHeight="1">
      <c r="A26" s="17" t="s">
        <v>36</v>
      </c>
      <c r="B26" s="16">
        <v>17</v>
      </c>
      <c r="C26" s="6" t="s">
        <v>192</v>
      </c>
      <c r="D26" s="7">
        <f>1.45+0.5</f>
        <v>1.95</v>
      </c>
      <c r="G26" s="17"/>
    </row>
    <row r="27" spans="1:7" ht="40.700000000000003" customHeight="1">
      <c r="A27" s="17" t="s">
        <v>36</v>
      </c>
      <c r="B27" s="16">
        <v>18</v>
      </c>
      <c r="C27" s="6" t="s">
        <v>197</v>
      </c>
      <c r="D27" s="7">
        <v>0.75</v>
      </c>
      <c r="G27" s="17"/>
    </row>
    <row r="28" spans="1:7" ht="27.2" customHeight="1">
      <c r="A28" s="17" t="s">
        <v>36</v>
      </c>
      <c r="B28" s="16">
        <v>19</v>
      </c>
      <c r="C28" s="6" t="s">
        <v>202</v>
      </c>
      <c r="D28" s="7">
        <f>0.48+0.3</f>
        <v>0.78</v>
      </c>
      <c r="G28" s="17"/>
    </row>
    <row r="29" spans="1:7" ht="40.700000000000003" customHeight="1">
      <c r="A29" s="17" t="s">
        <v>36</v>
      </c>
      <c r="B29" s="16">
        <v>20</v>
      </c>
      <c r="C29" s="6" t="s">
        <v>205</v>
      </c>
      <c r="D29" s="7">
        <f>0.38+0.55</f>
        <v>0.93</v>
      </c>
      <c r="G29" s="17"/>
    </row>
    <row r="30" spans="1:7" ht="27.2" customHeight="1">
      <c r="A30" s="17" t="s">
        <v>36</v>
      </c>
      <c r="B30" s="16">
        <v>21</v>
      </c>
      <c r="C30" s="6" t="s">
        <v>210</v>
      </c>
      <c r="D30" s="7">
        <v>0.52</v>
      </c>
      <c r="G30" s="17"/>
    </row>
    <row r="31" spans="1:7" ht="27.2" customHeight="1">
      <c r="A31" s="17" t="s">
        <v>36</v>
      </c>
      <c r="B31" s="16">
        <v>22</v>
      </c>
      <c r="C31" s="6" t="s">
        <v>215</v>
      </c>
      <c r="D31" s="7">
        <v>0.2</v>
      </c>
      <c r="G31" s="17"/>
    </row>
    <row r="32" spans="1:7" ht="40.700000000000003" customHeight="1">
      <c r="A32" s="17" t="s">
        <v>36</v>
      </c>
      <c r="B32" s="16">
        <v>23</v>
      </c>
      <c r="C32" s="6" t="s">
        <v>219</v>
      </c>
      <c r="D32" s="7">
        <v>2.1</v>
      </c>
      <c r="G32" s="17"/>
    </row>
    <row r="33" spans="1:7" ht="40.700000000000003" customHeight="1">
      <c r="A33" s="17" t="s">
        <v>36</v>
      </c>
      <c r="B33" s="16">
        <v>24</v>
      </c>
      <c r="C33" s="6" t="s">
        <v>222</v>
      </c>
      <c r="D33" s="7">
        <v>1</v>
      </c>
      <c r="G33" s="17"/>
    </row>
    <row r="34" spans="1:7" ht="40.700000000000003" customHeight="1">
      <c r="A34" s="17" t="s">
        <v>36</v>
      </c>
      <c r="B34" s="16">
        <v>25</v>
      </c>
      <c r="C34" s="6" t="s">
        <v>225</v>
      </c>
      <c r="D34" s="7">
        <v>0.32</v>
      </c>
      <c r="G34" s="17"/>
    </row>
    <row r="35" spans="1:7" ht="40.700000000000003" customHeight="1">
      <c r="A35" s="17" t="s">
        <v>36</v>
      </c>
      <c r="B35" s="16">
        <v>26</v>
      </c>
      <c r="C35" s="6" t="s">
        <v>229</v>
      </c>
      <c r="D35" s="7">
        <v>1.2</v>
      </c>
      <c r="G35" s="17"/>
    </row>
    <row r="36" spans="1:7" ht="40.700000000000003" customHeight="1">
      <c r="A36" s="17" t="s">
        <v>36</v>
      </c>
      <c r="B36" s="16">
        <v>27</v>
      </c>
      <c r="C36" s="6" t="s">
        <v>233</v>
      </c>
      <c r="D36" s="7">
        <v>1.45</v>
      </c>
      <c r="G36" s="17"/>
    </row>
    <row r="37" spans="1:7" ht="40.700000000000003" customHeight="1">
      <c r="A37" s="17" t="s">
        <v>36</v>
      </c>
      <c r="B37" s="16">
        <v>28</v>
      </c>
      <c r="C37" s="6" t="s">
        <v>236</v>
      </c>
      <c r="D37" s="7">
        <v>0.95</v>
      </c>
      <c r="G37" s="17"/>
    </row>
    <row r="38" spans="1:7" ht="40.700000000000003" customHeight="1">
      <c r="A38" s="17" t="s">
        <v>36</v>
      </c>
      <c r="B38" s="16">
        <v>29</v>
      </c>
      <c r="C38" s="6" t="s">
        <v>240</v>
      </c>
      <c r="D38" s="7">
        <v>1.4</v>
      </c>
      <c r="G38" s="17"/>
    </row>
    <row r="39" spans="1:7" ht="40.700000000000003" customHeight="1">
      <c r="A39" s="17" t="s">
        <v>36</v>
      </c>
      <c r="B39" s="16">
        <v>30</v>
      </c>
      <c r="C39" s="6" t="s">
        <v>243</v>
      </c>
      <c r="D39" s="7">
        <v>0.3</v>
      </c>
      <c r="G39" s="17"/>
    </row>
    <row r="40" spans="1:7" ht="40.700000000000003" customHeight="1">
      <c r="A40" s="17" t="s">
        <v>36</v>
      </c>
      <c r="B40" s="16">
        <v>31</v>
      </c>
      <c r="C40" s="6" t="s">
        <v>246</v>
      </c>
      <c r="D40" s="7">
        <v>5.1100000000000003</v>
      </c>
      <c r="G40" s="17"/>
    </row>
    <row r="41" spans="1:7" ht="40.700000000000003" customHeight="1">
      <c r="A41" s="17" t="s">
        <v>36</v>
      </c>
      <c r="B41" s="16">
        <v>32</v>
      </c>
      <c r="C41" s="6" t="s">
        <v>250</v>
      </c>
      <c r="D41" s="7">
        <f>2.33+0.52</f>
        <v>2.85</v>
      </c>
      <c r="G41" s="17"/>
    </row>
    <row r="42" spans="1:7" ht="40.700000000000003" customHeight="1">
      <c r="A42" s="17" t="s">
        <v>36</v>
      </c>
      <c r="B42" s="16">
        <v>33</v>
      </c>
      <c r="C42" s="6" t="s">
        <v>281</v>
      </c>
      <c r="D42" s="7">
        <f>2.35+0.18</f>
        <v>2.5300000000000002</v>
      </c>
      <c r="G42" s="17" t="s">
        <v>376</v>
      </c>
    </row>
    <row r="43" spans="1:7" ht="40.700000000000003" customHeight="1">
      <c r="A43" s="17" t="s">
        <v>36</v>
      </c>
      <c r="B43" s="16">
        <v>34</v>
      </c>
      <c r="C43" s="6" t="s">
        <v>286</v>
      </c>
      <c r="D43" s="7">
        <v>0.45</v>
      </c>
      <c r="G43" s="17" t="s">
        <v>147</v>
      </c>
    </row>
    <row r="44" spans="1:7" ht="40.700000000000003" customHeight="1">
      <c r="A44" s="17" t="s">
        <v>36</v>
      </c>
      <c r="B44" s="16">
        <v>35</v>
      </c>
      <c r="C44" s="6" t="s">
        <v>289</v>
      </c>
      <c r="D44" s="7">
        <v>0.15</v>
      </c>
      <c r="G44" s="17" t="s">
        <v>149</v>
      </c>
    </row>
    <row r="45" spans="1:7" ht="40.700000000000003" customHeight="1">
      <c r="A45" s="17" t="s">
        <v>36</v>
      </c>
      <c r="B45" s="16">
        <v>36</v>
      </c>
      <c r="C45" s="6" t="s">
        <v>294</v>
      </c>
      <c r="D45" s="7">
        <f>0.3+1.4+1.6</f>
        <v>3.3</v>
      </c>
      <c r="G45" s="17" t="s">
        <v>374</v>
      </c>
    </row>
    <row r="46" spans="1:7" ht="40.700000000000003" customHeight="1">
      <c r="A46" s="17" t="s">
        <v>36</v>
      </c>
      <c r="B46" s="16">
        <v>37</v>
      </c>
      <c r="C46" s="6" t="s">
        <v>299</v>
      </c>
      <c r="D46" s="7">
        <v>0.79</v>
      </c>
      <c r="G46" s="17" t="s">
        <v>369</v>
      </c>
    </row>
    <row r="47" spans="1:7" ht="40.700000000000003" customHeight="1">
      <c r="A47" s="17" t="s">
        <v>36</v>
      </c>
      <c r="B47" s="16">
        <v>38</v>
      </c>
      <c r="C47" s="6" t="s">
        <v>303</v>
      </c>
      <c r="D47" s="7">
        <v>0.5</v>
      </c>
      <c r="G47" s="17"/>
    </row>
    <row r="48" spans="1:7" ht="40.700000000000003" customHeight="1">
      <c r="A48" s="17" t="s">
        <v>36</v>
      </c>
      <c r="B48" s="16">
        <v>39</v>
      </c>
      <c r="C48" s="6" t="s">
        <v>307</v>
      </c>
      <c r="D48" s="7">
        <v>0.15</v>
      </c>
      <c r="G48" s="17"/>
    </row>
    <row r="49" spans="1:7" ht="40.700000000000003" customHeight="1">
      <c r="A49" s="17" t="s">
        <v>36</v>
      </c>
      <c r="B49" s="16">
        <v>40</v>
      </c>
      <c r="C49" s="6" t="s">
        <v>312</v>
      </c>
      <c r="D49" s="7">
        <v>1.46</v>
      </c>
      <c r="G49" s="17"/>
    </row>
    <row r="50" spans="1:7" ht="40.700000000000003" customHeight="1">
      <c r="A50" s="17" t="s">
        <v>36</v>
      </c>
      <c r="B50" s="16">
        <v>41</v>
      </c>
      <c r="C50" s="6" t="s">
        <v>317</v>
      </c>
      <c r="D50" s="7">
        <f>0.98+0.72</f>
        <v>1.7</v>
      </c>
      <c r="G50" s="17"/>
    </row>
    <row r="51" spans="1:7" ht="40.700000000000003" customHeight="1">
      <c r="A51" s="17" t="s">
        <v>36</v>
      </c>
      <c r="B51" s="16">
        <v>42</v>
      </c>
      <c r="C51" s="6" t="s">
        <v>320</v>
      </c>
      <c r="D51" s="7">
        <v>0.2</v>
      </c>
      <c r="G51" s="17"/>
    </row>
    <row r="52" spans="1:7" ht="40.700000000000003" customHeight="1">
      <c r="A52" s="17" t="s">
        <v>36</v>
      </c>
      <c r="B52" s="16">
        <v>43</v>
      </c>
      <c r="C52" s="6" t="s">
        <v>323</v>
      </c>
      <c r="D52" s="7">
        <v>0.1</v>
      </c>
      <c r="G52" s="17"/>
    </row>
    <row r="53" spans="1:7" ht="40.700000000000003" customHeight="1">
      <c r="A53" s="17" t="s">
        <v>36</v>
      </c>
      <c r="B53" s="16">
        <v>44</v>
      </c>
      <c r="C53" s="6" t="s">
        <v>326</v>
      </c>
      <c r="D53" s="7">
        <f>2.234+0.6</f>
        <v>2.8340000000000001</v>
      </c>
      <c r="G53" s="17"/>
    </row>
    <row r="54" spans="1:7" ht="40.700000000000003" customHeight="1">
      <c r="A54" s="17" t="s">
        <v>36</v>
      </c>
      <c r="B54" s="16">
        <v>45</v>
      </c>
      <c r="C54" s="6" t="s">
        <v>330</v>
      </c>
      <c r="D54" s="7">
        <f>0.65+0.44</f>
        <v>1.0900000000000001</v>
      </c>
      <c r="G54" s="17"/>
    </row>
    <row r="55" spans="1:7" ht="40.700000000000003" customHeight="1">
      <c r="A55" s="17" t="s">
        <v>36</v>
      </c>
      <c r="B55" s="16">
        <v>46</v>
      </c>
      <c r="C55" s="6" t="s">
        <v>334</v>
      </c>
      <c r="D55" s="7">
        <v>0.3</v>
      </c>
      <c r="G55" s="17"/>
    </row>
    <row r="56" spans="1:7" ht="40.700000000000003" customHeight="1">
      <c r="A56" s="17" t="s">
        <v>36</v>
      </c>
      <c r="B56" s="16">
        <v>47</v>
      </c>
      <c r="C56" s="6" t="s">
        <v>337</v>
      </c>
      <c r="D56" s="7">
        <v>0.08</v>
      </c>
      <c r="G56" s="17"/>
    </row>
    <row r="57" spans="1:7" ht="40.700000000000003" customHeight="1">
      <c r="A57" s="17" t="s">
        <v>36</v>
      </c>
      <c r="B57" s="16">
        <v>48</v>
      </c>
      <c r="C57" s="6" t="s">
        <v>341</v>
      </c>
      <c r="D57" s="7">
        <f>1.566+0.1+0.15</f>
        <v>1.8160000000000001</v>
      </c>
      <c r="G57" s="17"/>
    </row>
    <row r="58" spans="1:7" ht="40.700000000000003" customHeight="1">
      <c r="A58" s="17" t="s">
        <v>36</v>
      </c>
      <c r="B58" s="16">
        <v>49</v>
      </c>
      <c r="C58" s="6" t="s">
        <v>344</v>
      </c>
      <c r="D58" s="7">
        <v>1.5</v>
      </c>
      <c r="G58" s="17"/>
    </row>
    <row r="59" spans="1:7" ht="40.700000000000003" customHeight="1">
      <c r="A59" s="17" t="s">
        <v>36</v>
      </c>
      <c r="B59" s="16">
        <v>50</v>
      </c>
      <c r="C59" s="6" t="s">
        <v>348</v>
      </c>
      <c r="D59" s="7">
        <f>0.39+0.2</f>
        <v>0.59000000000000008</v>
      </c>
      <c r="G59" s="17"/>
    </row>
    <row r="60" spans="1:7" ht="40.700000000000003" customHeight="1">
      <c r="A60" s="17" t="s">
        <v>36</v>
      </c>
      <c r="B60" s="16">
        <v>51</v>
      </c>
      <c r="C60" s="6" t="s">
        <v>353</v>
      </c>
      <c r="D60" s="7">
        <f>0.12+0.3</f>
        <v>0.42</v>
      </c>
      <c r="G60" s="17"/>
    </row>
    <row r="61" spans="1:7" ht="40.700000000000003" customHeight="1">
      <c r="A61" s="17" t="s">
        <v>36</v>
      </c>
      <c r="B61" s="16">
        <v>52</v>
      </c>
      <c r="C61" s="6" t="s">
        <v>356</v>
      </c>
      <c r="D61" s="7">
        <v>3.63</v>
      </c>
      <c r="G61" s="17"/>
    </row>
    <row r="62" spans="1:7" ht="40.700000000000003" customHeight="1">
      <c r="A62" s="17" t="s">
        <v>36</v>
      </c>
      <c r="B62" s="16">
        <v>53</v>
      </c>
      <c r="C62" s="6" t="s">
        <v>360</v>
      </c>
      <c r="D62" s="7">
        <v>0.3</v>
      </c>
      <c r="G62" s="17"/>
    </row>
    <row r="63" spans="1:7" ht="40.700000000000003" customHeight="1">
      <c r="A63" s="17" t="s">
        <v>36</v>
      </c>
      <c r="B63" s="16">
        <v>54</v>
      </c>
      <c r="C63" s="6" t="s">
        <v>363</v>
      </c>
      <c r="D63" s="7">
        <v>0.15</v>
      </c>
      <c r="G63" s="17"/>
    </row>
    <row r="64" spans="1:7" ht="40.5">
      <c r="B64" s="16">
        <v>55</v>
      </c>
      <c r="C64" s="6" t="s">
        <v>385</v>
      </c>
      <c r="D64" s="7">
        <f>1.281+0.9</f>
        <v>2.181</v>
      </c>
    </row>
    <row r="65" spans="2:4" ht="27">
      <c r="B65" s="16">
        <v>56</v>
      </c>
      <c r="C65" s="6" t="s">
        <v>388</v>
      </c>
      <c r="D65" s="7">
        <f>0.819+0.3</f>
        <v>1.119</v>
      </c>
    </row>
    <row r="66" spans="2:4" ht="27">
      <c r="B66" s="16">
        <v>57</v>
      </c>
      <c r="C66" s="6" t="s">
        <v>390</v>
      </c>
      <c r="D66" s="7">
        <v>0.63</v>
      </c>
    </row>
    <row r="67" spans="2:4" ht="40.5">
      <c r="B67" s="16">
        <v>58</v>
      </c>
      <c r="C67" s="6" t="s">
        <v>393</v>
      </c>
      <c r="D67" s="7">
        <f>0.9+2.34</f>
        <v>3.2399999999999998</v>
      </c>
    </row>
    <row r="68" spans="2:4" ht="27">
      <c r="B68" s="16">
        <v>59</v>
      </c>
      <c r="C68" s="6" t="s">
        <v>398</v>
      </c>
      <c r="D68" s="59">
        <v>1</v>
      </c>
    </row>
    <row r="69" spans="2:4" ht="27">
      <c r="B69" s="16">
        <v>60</v>
      </c>
      <c r="C69" s="6" t="s">
        <v>400</v>
      </c>
      <c r="D69" s="59">
        <v>1</v>
      </c>
    </row>
    <row r="70" spans="2:4" ht="27">
      <c r="B70" s="16">
        <v>61</v>
      </c>
      <c r="C70" s="6" t="s">
        <v>401</v>
      </c>
      <c r="D70" s="59">
        <v>1.25</v>
      </c>
    </row>
    <row r="71" spans="2:4" ht="27">
      <c r="B71" s="16">
        <v>62</v>
      </c>
      <c r="C71" s="6" t="s">
        <v>403</v>
      </c>
      <c r="D71" s="59">
        <v>0.89</v>
      </c>
    </row>
    <row r="72" spans="2:4" ht="40.5">
      <c r="B72" s="16">
        <v>63</v>
      </c>
      <c r="C72" s="6" t="s">
        <v>405</v>
      </c>
      <c r="D72" s="59">
        <v>0.13500000000000001</v>
      </c>
    </row>
    <row r="73" spans="2:4" ht="27">
      <c r="B73" s="16">
        <v>64</v>
      </c>
      <c r="C73" s="6" t="s">
        <v>407</v>
      </c>
      <c r="D73" s="59">
        <v>0.26</v>
      </c>
    </row>
    <row r="74" spans="2:4" ht="40.5">
      <c r="B74" s="16">
        <v>65</v>
      </c>
      <c r="C74" s="6" t="s">
        <v>411</v>
      </c>
      <c r="D74" s="59">
        <f>0.475+0.24</f>
        <v>0.71499999999999997</v>
      </c>
    </row>
    <row r="75" spans="2:4" ht="40.5">
      <c r="B75" s="16">
        <v>66</v>
      </c>
      <c r="C75" s="6" t="s">
        <v>414</v>
      </c>
      <c r="D75" s="59">
        <v>0.6</v>
      </c>
    </row>
    <row r="76" spans="2:4" ht="40.5">
      <c r="B76" s="16">
        <v>67</v>
      </c>
      <c r="C76" s="6" t="s">
        <v>417</v>
      </c>
      <c r="D76" s="59">
        <f>0.12+0.5</f>
        <v>0.62</v>
      </c>
    </row>
    <row r="77" spans="2:4" ht="40.5">
      <c r="B77" s="16">
        <v>68</v>
      </c>
      <c r="C77" s="6" t="s">
        <v>423</v>
      </c>
      <c r="D77" s="38">
        <v>1.18</v>
      </c>
    </row>
    <row r="78" spans="2:4" ht="27">
      <c r="B78" s="16">
        <v>69</v>
      </c>
      <c r="C78" s="6" t="s">
        <v>427</v>
      </c>
      <c r="D78" s="38">
        <v>1.5</v>
      </c>
    </row>
    <row r="79" spans="2:4" ht="40.5">
      <c r="B79" s="16">
        <v>70</v>
      </c>
      <c r="C79" s="6" t="s">
        <v>431</v>
      </c>
      <c r="D79" s="38">
        <v>0.17</v>
      </c>
    </row>
    <row r="80" spans="2:4" ht="40.5">
      <c r="B80" s="16">
        <v>71</v>
      </c>
      <c r="C80" s="6" t="s">
        <v>434</v>
      </c>
      <c r="D80" s="38">
        <v>0.4</v>
      </c>
    </row>
    <row r="81" spans="2:4" ht="40.5">
      <c r="B81" s="16">
        <v>72</v>
      </c>
      <c r="C81" s="6" t="s">
        <v>437</v>
      </c>
      <c r="D81" s="38">
        <v>0.5</v>
      </c>
    </row>
    <row r="82" spans="2:4" ht="40.5">
      <c r="B82" s="16">
        <v>73</v>
      </c>
      <c r="C82" s="6" t="s">
        <v>440</v>
      </c>
      <c r="D82" s="38">
        <v>0.9</v>
      </c>
    </row>
  </sheetData>
  <mergeCells count="4">
    <mergeCell ref="B5:F5"/>
    <mergeCell ref="B7:B8"/>
    <mergeCell ref="C7:D7"/>
    <mergeCell ref="E7:F7"/>
  </mergeCells>
  <phoneticPr fontId="5" type="noConversion"/>
  <pageMargins left="0.75" right="0.75" top="0.26899999380111694" bottom="0.26899999380111694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崔今</cp:lastModifiedBy>
  <dcterms:created xsi:type="dcterms:W3CDTF">2024-06-13T03:06:08Z</dcterms:created>
  <dcterms:modified xsi:type="dcterms:W3CDTF">2024-06-20T11:07:01Z</dcterms:modified>
</cp:coreProperties>
</file>